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H:\Kalkyl\Case\"/>
    </mc:Choice>
  </mc:AlternateContent>
  <xr:revisionPtr revIDLastSave="0" documentId="12_ncr:500000_{EF01B091-55BD-4AA8-819B-4708A2DF7EC3}" xr6:coauthVersionLast="31" xr6:coauthVersionMax="31" xr10:uidLastSave="{00000000-0000-0000-0000-000000000000}"/>
  <bookViews>
    <workbookView xWindow="0" yWindow="0" windowWidth="20520" windowHeight="9690" tabRatio="956" activeTab="1" xr2:uid="{00000000-000D-0000-FFFF-FFFF00000000}"/>
  </bookViews>
  <sheets>
    <sheet name="Coating cost calc HQS " sheetId="33" r:id="rId1"/>
    <sheet name="Coating cost calc hook" sheetId="32" r:id="rId2"/>
    <sheet name="Detailed Coating line calc" sheetId="29" r:id="rId3"/>
    <sheet name="HQS PH#11" sheetId="34" r:id="rId4"/>
  </sheets>
  <definedNames>
    <definedName name="_xlnm.Print_Area" localSheetId="3">'HQS PH#11'!$A$1:$AE$191</definedName>
  </definedNames>
  <calcPr calcId="162913"/>
  <fileRecoveryPr autoRecover="0"/>
</workbook>
</file>

<file path=xl/calcChain.xml><?xml version="1.0" encoding="utf-8"?>
<calcChain xmlns="http://schemas.openxmlformats.org/spreadsheetml/2006/main">
  <c r="C73" i="32" l="1"/>
  <c r="C72" i="32"/>
  <c r="C71" i="32"/>
  <c r="C70" i="32"/>
  <c r="C38" i="32" l="1"/>
  <c r="C33" i="33"/>
  <c r="C40" i="33" s="1"/>
  <c r="C8" i="32"/>
  <c r="C49" i="32"/>
  <c r="C52" i="33"/>
  <c r="B26" i="32"/>
  <c r="C43" i="33" l="1"/>
  <c r="X133" i="34"/>
  <c r="X135" i="34" s="1"/>
  <c r="F130" i="34"/>
  <c r="X129" i="34"/>
  <c r="X130" i="34" s="1"/>
  <c r="X122" i="34"/>
  <c r="X119" i="34"/>
  <c r="X118" i="34"/>
  <c r="X124" i="34" s="1"/>
  <c r="X115" i="34"/>
  <c r="X114" i="34"/>
  <c r="X113" i="34"/>
  <c r="X112" i="34"/>
  <c r="S112" i="34"/>
  <c r="M112" i="34"/>
  <c r="J65" i="34" s="1"/>
  <c r="X111" i="34"/>
  <c r="X116" i="34" s="1"/>
  <c r="F110" i="34"/>
  <c r="F109" i="34"/>
  <c r="F108" i="34"/>
  <c r="X106" i="34"/>
  <c r="X105" i="34"/>
  <c r="X103" i="34"/>
  <c r="F102" i="34"/>
  <c r="D48" i="34" s="1"/>
  <c r="S101" i="34"/>
  <c r="F101" i="34"/>
  <c r="S100" i="34"/>
  <c r="M100" i="34"/>
  <c r="X98" i="34"/>
  <c r="X101" i="34" s="1"/>
  <c r="X108" i="34" s="1"/>
  <c r="P79" i="34"/>
  <c r="J79" i="34"/>
  <c r="I66" i="34"/>
  <c r="O66" i="34" s="1"/>
  <c r="I65" i="34"/>
  <c r="O65" i="34" s="1"/>
  <c r="I64" i="34"/>
  <c r="O64" i="34" s="1"/>
  <c r="I63" i="34"/>
  <c r="O63" i="34" s="1"/>
  <c r="C63" i="34"/>
  <c r="P62" i="34"/>
  <c r="J62" i="34"/>
  <c r="I62" i="34"/>
  <c r="O62" i="34" s="1"/>
  <c r="P61" i="34"/>
  <c r="J61" i="34"/>
  <c r="I61" i="34"/>
  <c r="O61" i="34" s="1"/>
  <c r="C61" i="34"/>
  <c r="E61" i="34" s="1"/>
  <c r="C60" i="34"/>
  <c r="E60" i="34" s="1"/>
  <c r="O59" i="34"/>
  <c r="S58" i="34"/>
  <c r="I57" i="34"/>
  <c r="O57" i="34" s="1"/>
  <c r="I56" i="34"/>
  <c r="O56" i="34" s="1"/>
  <c r="P55" i="34"/>
  <c r="J55" i="34"/>
  <c r="I55" i="34"/>
  <c r="O55" i="34" s="1"/>
  <c r="D55" i="34"/>
  <c r="I54" i="34"/>
  <c r="O54" i="34" s="1"/>
  <c r="I53" i="34"/>
  <c r="O53" i="34" s="1"/>
  <c r="O52" i="34"/>
  <c r="D52" i="34"/>
  <c r="P51" i="34"/>
  <c r="I51" i="34"/>
  <c r="O51" i="34" s="1"/>
  <c r="P50" i="34"/>
  <c r="R65" i="34" s="1"/>
  <c r="J50" i="34"/>
  <c r="M131" i="34" s="1"/>
  <c r="I50" i="34"/>
  <c r="O50" i="34" s="1"/>
  <c r="O49" i="34"/>
  <c r="P48" i="34"/>
  <c r="O48" i="34"/>
  <c r="P47" i="34"/>
  <c r="O47" i="34"/>
  <c r="J47" i="34"/>
  <c r="I47" i="34"/>
  <c r="O46" i="34"/>
  <c r="I46" i="34"/>
  <c r="P45" i="34"/>
  <c r="J45" i="34"/>
  <c r="I45" i="34"/>
  <c r="O45" i="34" s="1"/>
  <c r="I44" i="34"/>
  <c r="O44" i="34" s="1"/>
  <c r="P64" i="34" l="1"/>
  <c r="J64" i="34"/>
  <c r="E63" i="34"/>
  <c r="J51" i="34"/>
  <c r="M129" i="34" s="1"/>
  <c r="M101" i="34"/>
  <c r="X126" i="34"/>
  <c r="F112" i="34"/>
  <c r="C64" i="34" s="1"/>
  <c r="E64" i="34" s="1"/>
  <c r="L65" i="34"/>
  <c r="J48" i="34"/>
  <c r="P60" i="34"/>
  <c r="C59" i="34"/>
  <c r="E59" i="34" s="1"/>
  <c r="J60" i="34"/>
  <c r="L64" i="34"/>
  <c r="R64" i="34"/>
  <c r="S129" i="34"/>
  <c r="X131" i="34"/>
  <c r="M130" i="34"/>
  <c r="L60" i="34" l="1"/>
  <c r="L61" i="34"/>
  <c r="L62" i="34"/>
  <c r="J52" i="34"/>
  <c r="C62" i="34"/>
  <c r="P63" i="34"/>
  <c r="S130" i="34" s="1"/>
  <c r="R63" i="34" s="1"/>
  <c r="J63" i="34"/>
  <c r="M132" i="34" s="1"/>
  <c r="L63" i="34" s="1"/>
  <c r="R61" i="34"/>
  <c r="R62" i="34"/>
  <c r="P52" i="34"/>
  <c r="R60" i="34"/>
  <c r="R66" i="34" l="1"/>
  <c r="R68" i="34" s="1"/>
  <c r="E62" i="34"/>
  <c r="F131" i="34"/>
  <c r="L66" i="34"/>
  <c r="L68" i="34" s="1"/>
  <c r="E65" i="34" l="1"/>
  <c r="E68" i="34" l="1"/>
  <c r="S65" i="34"/>
  <c r="F60" i="34"/>
  <c r="F64" i="34"/>
  <c r="F63" i="34"/>
  <c r="F61" i="34"/>
  <c r="M65" i="34"/>
  <c r="M64" i="34"/>
  <c r="F59" i="34"/>
  <c r="S64" i="34"/>
  <c r="M60" i="34"/>
  <c r="S61" i="34"/>
  <c r="S60" i="34"/>
  <c r="S63" i="34"/>
  <c r="M63" i="34"/>
  <c r="S62" i="34"/>
  <c r="M61" i="34"/>
  <c r="M62" i="34"/>
  <c r="F62" i="34"/>
  <c r="M59" i="34" l="1"/>
  <c r="M66" i="34" s="1"/>
  <c r="S59" i="34"/>
  <c r="S66" i="34" s="1"/>
  <c r="F65" i="34"/>
  <c r="C41" i="32" l="1"/>
  <c r="C74" i="33" l="1"/>
  <c r="C54" i="33"/>
  <c r="C48" i="33"/>
  <c r="C11" i="33"/>
  <c r="C75" i="33" s="1"/>
  <c r="B28" i="33"/>
  <c r="B27" i="33"/>
  <c r="B26" i="33"/>
  <c r="B25" i="33"/>
  <c r="C75" i="32"/>
  <c r="D75" i="32" s="1"/>
  <c r="C74" i="32"/>
  <c r="D74" i="32" s="1"/>
  <c r="C52" i="32"/>
  <c r="C46" i="32"/>
  <c r="B25" i="32"/>
  <c r="B24" i="32"/>
  <c r="B23" i="32"/>
  <c r="D10" i="29" l="1"/>
  <c r="D41" i="29" l="1"/>
  <c r="D42" i="29" s="1"/>
  <c r="D43" i="29" s="1"/>
  <c r="D46" i="29" s="1"/>
  <c r="D34" i="29"/>
  <c r="D48" i="29" s="1"/>
  <c r="D31" i="29"/>
  <c r="D30" i="29"/>
  <c r="D36" i="29" s="1"/>
  <c r="D27" i="29"/>
  <c r="D26" i="29"/>
  <c r="D25" i="29"/>
  <c r="D24" i="29"/>
  <c r="D23" i="29"/>
  <c r="D17" i="29"/>
  <c r="D15" i="29"/>
  <c r="D13" i="29"/>
  <c r="C27" i="33" l="1"/>
  <c r="C71" i="33" s="1"/>
  <c r="C25" i="32"/>
  <c r="D71" i="32" s="1"/>
  <c r="D28" i="29"/>
  <c r="D38" i="29" s="1"/>
  <c r="C23" i="32"/>
  <c r="C25" i="33"/>
  <c r="C73" i="33" s="1"/>
  <c r="D18" i="29"/>
  <c r="D20" i="29" s="1"/>
  <c r="D47" i="29" s="1"/>
  <c r="C26" i="32" l="1"/>
  <c r="D49" i="29"/>
  <c r="D50" i="29"/>
  <c r="C28" i="33"/>
  <c r="C72" i="33" s="1"/>
  <c r="D72" i="32" l="1"/>
  <c r="C24" i="32"/>
  <c r="C28" i="32" s="1"/>
  <c r="C26" i="33"/>
  <c r="D73" i="32"/>
  <c r="C30" i="33" l="1"/>
  <c r="C70" i="33"/>
  <c r="C10" i="32"/>
  <c r="C14" i="32" s="1"/>
  <c r="C16" i="33" s="1"/>
  <c r="C77" i="33" s="1"/>
  <c r="D70" i="33" l="1"/>
  <c r="C10" i="33"/>
  <c r="C14" i="33" s="1"/>
  <c r="D74" i="33"/>
  <c r="D75" i="33"/>
  <c r="D73" i="33"/>
  <c r="D71" i="33"/>
  <c r="C76" i="33"/>
  <c r="D76" i="33" s="1"/>
  <c r="D70" i="32"/>
  <c r="C76" i="32"/>
  <c r="D76" i="32" s="1"/>
  <c r="D72" i="33"/>
  <c r="D77" i="33" l="1"/>
  <c r="D77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Petter Törefors</author>
  </authors>
  <commentList>
    <comment ref="C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Petter Törefors:</t>
        </r>
        <r>
          <rPr>
            <sz val="9"/>
            <color indexed="81"/>
            <rFont val="Tahoma"/>
            <family val="2"/>
          </rPr>
          <t xml:space="preserve">
Rule of thumb: 1kg =&gt; 80 my over 8 m2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Petter Törefors</author>
  </authors>
  <commentList>
    <comment ref="C4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Petter Törefors:</t>
        </r>
        <r>
          <rPr>
            <sz val="9"/>
            <color indexed="81"/>
            <rFont val="Tahoma"/>
            <family val="2"/>
          </rPr>
          <t xml:space="preserve">
Rule of thumb: 1kg =&gt; 80 my over 8 m2</t>
        </r>
      </text>
    </comment>
  </commentList>
</comments>
</file>

<file path=xl/sharedStrings.xml><?xml version="1.0" encoding="utf-8"?>
<sst xmlns="http://schemas.openxmlformats.org/spreadsheetml/2006/main" count="410" uniqueCount="187">
  <si>
    <t>m²</t>
  </si>
  <si>
    <t>Gas</t>
  </si>
  <si>
    <t>Energy</t>
  </si>
  <si>
    <t>Blue collar</t>
  </si>
  <si>
    <t>€/pcs</t>
  </si>
  <si>
    <t>Fixed line cost</t>
  </si>
  <si>
    <t>Variable line cost</t>
  </si>
  <si>
    <t>€</t>
  </si>
  <si>
    <t>Investment coating Line</t>
  </si>
  <si>
    <t>Depreciation</t>
  </si>
  <si>
    <t>Years</t>
  </si>
  <si>
    <t>€/year</t>
  </si>
  <si>
    <t>Floor space</t>
  </si>
  <si>
    <t>€/m²</t>
  </si>
  <si>
    <t>Lightning</t>
  </si>
  <si>
    <t>Real property</t>
  </si>
  <si>
    <t>Property costs</t>
  </si>
  <si>
    <t>Fixed plant cost per year</t>
  </si>
  <si>
    <t>Repair &amp; maintenance</t>
  </si>
  <si>
    <t>Inspections and other R&amp;M</t>
  </si>
  <si>
    <t>Total Repair &amp; maintenance</t>
  </si>
  <si>
    <t>Chemicals</t>
  </si>
  <si>
    <t>Chemicals deposition</t>
  </si>
  <si>
    <t>Environmental fee</t>
  </si>
  <si>
    <t>Pretreatment chemicals</t>
  </si>
  <si>
    <t>Water</t>
  </si>
  <si>
    <t>Energy consumption</t>
  </si>
  <si>
    <t>Cost electricity</t>
  </si>
  <si>
    <t>Number line hours per year</t>
  </si>
  <si>
    <t>Total electricity and checmicals</t>
  </si>
  <si>
    <t>€/kWh</t>
  </si>
  <si>
    <t>Variable plant cost per year</t>
  </si>
  <si>
    <t>€/h</t>
  </si>
  <si>
    <t>Social cost (swedish based)</t>
  </si>
  <si>
    <t>Powder per pcs</t>
  </si>
  <si>
    <t>€/kg</t>
  </si>
  <si>
    <t>Capital cost / year</t>
  </si>
  <si>
    <t>Total coating cost</t>
  </si>
  <si>
    <t>h/year</t>
  </si>
  <si>
    <t>kW/h</t>
  </si>
  <si>
    <t>Cost per hanging point</t>
  </si>
  <si>
    <t>Number of time used</t>
  </si>
  <si>
    <t>Hanging points per conveyor meter</t>
  </si>
  <si>
    <t>Cost hanging point</t>
  </si>
  <si>
    <t>Internal interest (avg bank interest)</t>
  </si>
  <si>
    <t>m/min</t>
  </si>
  <si>
    <t>Bluecollar per person</t>
  </si>
  <si>
    <t>Number of Bluecollar</t>
  </si>
  <si>
    <t>#person</t>
  </si>
  <si>
    <t>Linecost per hour</t>
  </si>
  <si>
    <t>Line cost powder coating</t>
  </si>
  <si>
    <t>Line speed</t>
  </si>
  <si>
    <t>pcs/m</t>
  </si>
  <si>
    <t>Blue collar cost</t>
  </si>
  <si>
    <t xml:space="preserve">Powder </t>
  </si>
  <si>
    <t>Off-line Cost (prehanging/unloading)</t>
  </si>
  <si>
    <t>Powder cost</t>
  </si>
  <si>
    <t>Total</t>
  </si>
  <si>
    <t>Saving</t>
  </si>
  <si>
    <t>Comparison cost</t>
  </si>
  <si>
    <t>&lt;&lt; A</t>
  </si>
  <si>
    <t>&lt;&lt; B</t>
  </si>
  <si>
    <t>&lt;&lt; C</t>
  </si>
  <si>
    <t>Blue collar cost X number of people</t>
  </si>
  <si>
    <t>batch size</t>
  </si>
  <si>
    <t>Time to prehang</t>
  </si>
  <si>
    <t>Surface product + part hanger</t>
  </si>
  <si>
    <t>Price powder per kg</t>
  </si>
  <si>
    <t>m2</t>
  </si>
  <si>
    <t>Density</t>
  </si>
  <si>
    <t>my</t>
  </si>
  <si>
    <t>h</t>
  </si>
  <si>
    <t>Powder thickness</t>
  </si>
  <si>
    <t>Powder utilization</t>
  </si>
  <si>
    <t>&lt;&lt; D</t>
  </si>
  <si>
    <t>Costing parameters - detailed</t>
  </si>
  <si>
    <t>Powder coating line</t>
  </si>
  <si>
    <t>&lt;&lt; E</t>
  </si>
  <si>
    <t>&lt;&lt; F</t>
  </si>
  <si>
    <t>&gt;&gt; C Line cost (see detailed coating line cost)</t>
  </si>
  <si>
    <t>&gt;&gt; D Cost per hanging point</t>
  </si>
  <si>
    <t>&gt;&gt; E Powder cost</t>
  </si>
  <si>
    <t>&gt;&gt; F Off-line cost</t>
  </si>
  <si>
    <t>&gt;&gt; A Conveyor speed automatic line (m/min)</t>
  </si>
  <si>
    <t>&gt;&gt; B Actual number of parts coated per conveyour meter</t>
  </si>
  <si>
    <t>Diagram data</t>
  </si>
  <si>
    <t>Total coating cost - old case</t>
  </si>
  <si>
    <t>Productivity (line utilization)</t>
  </si>
  <si>
    <t>Calculation case: HQS vs chain hanging metal plate</t>
  </si>
  <si>
    <t xml:space="preserve">Traditional chain hanging </t>
  </si>
  <si>
    <t>Smart hanging HQS</t>
  </si>
  <si>
    <t>Conclusions</t>
  </si>
  <si>
    <t>Scenario kort sikt</t>
  </si>
  <si>
    <t>- Volymer oförändrade</t>
  </si>
  <si>
    <t>- Färre maskintimmar behövs</t>
  </si>
  <si>
    <t>- Besparing energi &amp; rörliga anläggningskostnader</t>
  </si>
  <si>
    <t>- Energy cost is often forgotten</t>
  </si>
  <si>
    <t>- Blue collar and powder cost over stressed</t>
  </si>
  <si>
    <t>Smart hanging can reduce total coating cost with 50%!</t>
  </si>
  <si>
    <t>The biggest savings effect is on blue collar because it is over 3 times faster to hang and unload products with HQS over chain hanging hooks and blue collar is dominant costing component in this case.</t>
  </si>
  <si>
    <t>Due to this situation there is abig savings effect in both prehanging situation and when products are hunged on the line.</t>
  </si>
  <si>
    <t>Prehanging leads to  big savings on energy thanks to shorter run time in the line</t>
  </si>
  <si>
    <t>Parameters chain hanging standard hook on line</t>
  </si>
  <si>
    <t>Parameters HQS prehanging</t>
  </si>
  <si>
    <t>Parameters HQS on line</t>
  </si>
  <si>
    <t>Type of hanging</t>
  </si>
  <si>
    <t>Hook</t>
  </si>
  <si>
    <t>HQS</t>
  </si>
  <si>
    <t>Line (monorail)</t>
  </si>
  <si>
    <t>Line speed m/min (actual)</t>
  </si>
  <si>
    <t>Size painted plate (W x H) mm</t>
  </si>
  <si>
    <t>25 x 75</t>
  </si>
  <si>
    <t>Products per convayor meter</t>
  </si>
  <si>
    <t>Prehanging off-line</t>
  </si>
  <si>
    <t>Y</t>
  </si>
  <si>
    <t>N</t>
  </si>
  <si>
    <t>Batch</t>
  </si>
  <si>
    <t>Coating Capacity qty / h</t>
  </si>
  <si>
    <t>Batch process time (h)</t>
  </si>
  <si>
    <t>Batch process time icl prehang (h))</t>
  </si>
  <si>
    <t>Number of shifts</t>
  </si>
  <si>
    <t>Line utilization</t>
  </si>
  <si>
    <t>Available line hours / year</t>
  </si>
  <si>
    <t>Number of bluecollar per shift</t>
  </si>
  <si>
    <t>Costing components</t>
  </si>
  <si>
    <t>Batch cost (€)</t>
  </si>
  <si>
    <t>%</t>
  </si>
  <si>
    <t>Savings</t>
  </si>
  <si>
    <t>kWh</t>
  </si>
  <si>
    <t>kwh</t>
  </si>
  <si>
    <t>Powder</t>
  </si>
  <si>
    <t>,</t>
  </si>
  <si>
    <t xml:space="preserve"> </t>
  </si>
  <si>
    <t>Standard Hook</t>
  </si>
  <si>
    <t>HQS with prehanging</t>
  </si>
  <si>
    <t>HQS loaded on line</t>
  </si>
  <si>
    <t>Assumption</t>
  </si>
  <si>
    <t>- Case is based on real data from a Swedish Job coater with automatic line</t>
  </si>
  <si>
    <t>- 6 persons prehanging in off-line mode</t>
  </si>
  <si>
    <t>- Same assumptions as for the HQS prehanging case</t>
  </si>
  <si>
    <t>- 3090 pcs/h with 6 persons and actual line speed 2 m/min</t>
  </si>
  <si>
    <t>- Coating line only  turned on while coating for prehanging and</t>
  </si>
  <si>
    <t>- Except that prehanging and unloading are done on line</t>
  </si>
  <si>
    <t>unloading products  is turned off or running other job with</t>
  </si>
  <si>
    <t>meaning that speed is reduced to half 1 m/min and</t>
  </si>
  <si>
    <t>- 4 staff loading product, 2 staff unloading products</t>
  </si>
  <si>
    <t>other staff</t>
  </si>
  <si>
    <t>more variable line cost + energy are consumed</t>
  </si>
  <si>
    <t>- Time studies conducted to estimate time for prehanging and unloading products</t>
  </si>
  <si>
    <t>- Hooks used 3 times before replacement</t>
  </si>
  <si>
    <t>- HQS used 3 times before disposed</t>
  </si>
  <si>
    <t>- Line Speed doubled to 2 m/min since products are prehunged</t>
  </si>
  <si>
    <t>Costing parameters - powder coating line (typical)</t>
  </si>
  <si>
    <t>Conveyor, Hanging Points, line speed</t>
  </si>
  <si>
    <t>Distance hanging points (mm)</t>
  </si>
  <si>
    <t>Distance vertical (mm)</t>
  </si>
  <si>
    <t>Hanging points / shaft</t>
  </si>
  <si>
    <t>Hanging height (mm)</t>
  </si>
  <si>
    <t>Capacity qty/h</t>
  </si>
  <si>
    <t>Cost hanging points</t>
  </si>
  <si>
    <t xml:space="preserve">Purchase cost - 300x1,5 PDV (€) </t>
  </si>
  <si>
    <t>Purchase cost - 075x1,5 PDVx2 (€)</t>
  </si>
  <si>
    <t>HQS purchase cost (€)</t>
  </si>
  <si>
    <t>Chain hanging levels</t>
  </si>
  <si>
    <t>Hanging points</t>
  </si>
  <si>
    <t>Number of time in use</t>
  </si>
  <si>
    <t>Cost per hanging point   (€/pcs)</t>
  </si>
  <si>
    <t>Run time in line for batch (h)</t>
  </si>
  <si>
    <t>Prehanging off-line (h)</t>
  </si>
  <si>
    <t>Blucollar batch (€)</t>
  </si>
  <si>
    <t>Unloading offline</t>
  </si>
  <si>
    <t>Total bluecollar cost</t>
  </si>
  <si>
    <t>g</t>
  </si>
  <si>
    <t>Powder cost/pcs</t>
  </si>
  <si>
    <t>Total coating cost in relation to number of hanging point usage</t>
  </si>
  <si>
    <t># hpt</t>
  </si>
  <si>
    <t>Hook (€)</t>
  </si>
  <si>
    <t>HQS (€)</t>
  </si>
  <si>
    <t>Calculation total coating cost - HQS vs Chain hanging hooks</t>
  </si>
  <si>
    <t>Calculation total coating cost - chain hanging single hooks</t>
  </si>
  <si>
    <t xml:space="preserve">Number of time used </t>
  </si>
  <si>
    <t>Purchase cost frame,shaft (reused)</t>
  </si>
  <si>
    <t>Lifte time cost cleaning, handling and transport</t>
  </si>
  <si>
    <t>Number of time used (incl cleaning)</t>
  </si>
  <si>
    <t>Number of hanging points per hanger</t>
  </si>
  <si>
    <t>Number of hanging points (HQS,C,L)</t>
  </si>
  <si>
    <t>Purchase cost consumable (hook/insert/HQS,L,C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</si>
</sst>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%"/>
    <numFmt numFmtId="166" formatCode="#,##0.000"/>
    <numFmt numFmtId="167" formatCode="0.0000"/>
    <numFmt numFmtId="168" formatCode="0.0"/>
    <numFmt numFmtId="169" formatCode="#,##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sz val="2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</font>
    <font>
      <b/>
      <sz val="16"/>
      <name val="Arial"/>
    </font>
    <font>
      <sz val="16"/>
      <name val="Arial"/>
      <family val="2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92F"/>
        <bgColor indexed="64"/>
      </patternFill>
    </fill>
    <fill>
      <patternFill patternType="solid">
        <fgColor rgb="FF009A3E"/>
        <bgColor indexed="64"/>
      </patternFill>
    </fill>
    <fill>
      <patternFill patternType="solid">
        <fgColor rgb="FFCE6A13"/>
        <bgColor indexed="64"/>
      </patternFill>
    </fill>
    <fill>
      <patternFill patternType="solid">
        <fgColor rgb="FF79276A"/>
        <bgColor indexed="64"/>
      </patternFill>
    </fill>
    <fill>
      <patternFill patternType="solid">
        <fgColor rgb="FF008899"/>
        <bgColor indexed="64"/>
      </patternFill>
    </fill>
    <fill>
      <patternFill patternType="solid">
        <fgColor rgb="FF9A1915"/>
        <bgColor indexed="64"/>
      </patternFill>
    </fill>
    <fill>
      <patternFill patternType="solid">
        <fgColor rgb="FF798B6A"/>
        <bgColor indexed="64"/>
      </patternFill>
    </fill>
    <fill>
      <patternFill patternType="solid">
        <fgColor rgb="FFC5B06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4" borderId="0" applyNumberFormat="0" applyBorder="0" applyAlignment="0" applyProtection="0"/>
    <xf numFmtId="0" fontId="9" fillId="7" borderId="2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2" fillId="20" borderId="1" applyNumberFormat="0" applyFont="0" applyAlignment="0" applyProtection="0"/>
    <xf numFmtId="0" fontId="14" fillId="3" borderId="0" applyNumberFormat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4" xfId="0" applyFill="1" applyBorder="1"/>
    <xf numFmtId="0" fontId="0" fillId="0" borderId="15" xfId="0" applyFill="1" applyBorder="1"/>
    <xf numFmtId="3" fontId="0" fillId="0" borderId="0" xfId="0" applyNumberFormat="1" applyFill="1" applyBorder="1"/>
    <xf numFmtId="3" fontId="0" fillId="0" borderId="10" xfId="0" applyNumberFormat="1" applyFill="1" applyBorder="1"/>
    <xf numFmtId="0" fontId="20" fillId="0" borderId="16" xfId="0" applyFont="1" applyFill="1" applyBorder="1"/>
    <xf numFmtId="3" fontId="20" fillId="0" borderId="11" xfId="0" applyNumberFormat="1" applyFont="1" applyFill="1" applyBorder="1"/>
    <xf numFmtId="0" fontId="0" fillId="24" borderId="17" xfId="0" applyFill="1" applyBorder="1"/>
    <xf numFmtId="0" fontId="0" fillId="24" borderId="14" xfId="0" applyFill="1" applyBorder="1"/>
    <xf numFmtId="0" fontId="0" fillId="24" borderId="12" xfId="0" applyFill="1" applyBorder="1"/>
    <xf numFmtId="0" fontId="0" fillId="24" borderId="15" xfId="0" applyFill="1" applyBorder="1"/>
    <xf numFmtId="0" fontId="0" fillId="24" borderId="13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0" xfId="0" applyFill="1" applyBorder="1"/>
    <xf numFmtId="9" fontId="0" fillId="0" borderId="10" xfId="0" applyNumberFormat="1" applyFill="1" applyBorder="1"/>
    <xf numFmtId="0" fontId="0" fillId="0" borderId="11" xfId="0" applyFill="1" applyBorder="1"/>
    <xf numFmtId="0" fontId="0" fillId="0" borderId="12" xfId="0" applyFill="1" applyBorder="1"/>
    <xf numFmtId="3" fontId="0" fillId="0" borderId="18" xfId="0" applyNumberFormat="1" applyFill="1" applyBorder="1"/>
    <xf numFmtId="0" fontId="0" fillId="0" borderId="19" xfId="0" applyFill="1" applyBorder="1"/>
    <xf numFmtId="0" fontId="20" fillId="0" borderId="14" xfId="0" applyFont="1" applyFill="1" applyBorder="1"/>
    <xf numFmtId="3" fontId="20" fillId="0" borderId="0" xfId="0" applyNumberFormat="1" applyFont="1" applyFill="1" applyBorder="1"/>
    <xf numFmtId="0" fontId="20" fillId="0" borderId="12" xfId="0" applyFont="1" applyFill="1" applyBorder="1"/>
    <xf numFmtId="4" fontId="0" fillId="0" borderId="0" xfId="0" applyNumberFormat="1" applyFill="1" applyBorder="1"/>
    <xf numFmtId="0" fontId="0" fillId="26" borderId="0" xfId="0" applyFill="1"/>
    <xf numFmtId="166" fontId="0" fillId="26" borderId="0" xfId="0" applyNumberFormat="1" applyFill="1"/>
    <xf numFmtId="0" fontId="0" fillId="26" borderId="0" xfId="0" applyFill="1" applyAlignment="1">
      <alignment horizontal="center"/>
    </xf>
    <xf numFmtId="0" fontId="0" fillId="27" borderId="0" xfId="0" applyFill="1"/>
    <xf numFmtId="0" fontId="20" fillId="24" borderId="11" xfId="0" applyFont="1" applyFill="1" applyBorder="1"/>
    <xf numFmtId="164" fontId="20" fillId="24" borderId="21" xfId="0" applyNumberFormat="1" applyFont="1" applyFill="1" applyBorder="1"/>
    <xf numFmtId="165" fontId="0" fillId="26" borderId="0" xfId="37" applyNumberFormat="1" applyFont="1" applyFill="1"/>
    <xf numFmtId="165" fontId="0" fillId="26" borderId="0" xfId="0" applyNumberFormat="1" applyFill="1"/>
    <xf numFmtId="3" fontId="23" fillId="24" borderId="20" xfId="0" applyNumberFormat="1" applyFont="1" applyFill="1" applyBorder="1"/>
    <xf numFmtId="0" fontId="23" fillId="24" borderId="15" xfId="0" applyFont="1" applyFill="1" applyBorder="1"/>
    <xf numFmtId="0" fontId="23" fillId="24" borderId="20" xfId="0" applyFont="1" applyFill="1" applyBorder="1"/>
    <xf numFmtId="9" fontId="23" fillId="24" borderId="20" xfId="0" applyNumberFormat="1" applyFont="1" applyFill="1" applyBorder="1"/>
    <xf numFmtId="0" fontId="23" fillId="24" borderId="17" xfId="0" applyFont="1" applyFill="1" applyBorder="1"/>
    <xf numFmtId="0" fontId="23" fillId="24" borderId="19" xfId="0" applyFont="1" applyFill="1" applyBorder="1"/>
    <xf numFmtId="0" fontId="23" fillId="24" borderId="14" xfId="0" applyFont="1" applyFill="1" applyBorder="1"/>
    <xf numFmtId="0" fontId="23" fillId="24" borderId="12" xfId="0" applyFont="1" applyFill="1" applyBorder="1"/>
    <xf numFmtId="0" fontId="23" fillId="24" borderId="22" xfId="0" applyFont="1" applyFill="1" applyBorder="1"/>
    <xf numFmtId="0" fontId="0" fillId="24" borderId="19" xfId="0" applyFill="1" applyBorder="1"/>
    <xf numFmtId="0" fontId="23" fillId="28" borderId="18" xfId="0" applyFont="1" applyFill="1" applyBorder="1" applyAlignment="1">
      <alignment horizontal="right"/>
    </xf>
    <xf numFmtId="0" fontId="23" fillId="28" borderId="19" xfId="0" applyFont="1" applyFill="1" applyBorder="1"/>
    <xf numFmtId="0" fontId="24" fillId="24" borderId="15" xfId="0" applyFont="1" applyFill="1" applyBorder="1"/>
    <xf numFmtId="3" fontId="24" fillId="24" borderId="10" xfId="0" applyNumberFormat="1" applyFont="1" applyFill="1" applyBorder="1"/>
    <xf numFmtId="0" fontId="24" fillId="24" borderId="13" xfId="0" applyFont="1" applyFill="1" applyBorder="1"/>
    <xf numFmtId="0" fontId="23" fillId="30" borderId="19" xfId="0" applyFont="1" applyFill="1" applyBorder="1"/>
    <xf numFmtId="164" fontId="24" fillId="24" borderId="10" xfId="0" applyNumberFormat="1" applyFont="1" applyFill="1" applyBorder="1"/>
    <xf numFmtId="0" fontId="23" fillId="29" borderId="18" xfId="0" applyFont="1" applyFill="1" applyBorder="1"/>
    <xf numFmtId="0" fontId="23" fillId="29" borderId="19" xfId="0" applyFont="1" applyFill="1" applyBorder="1"/>
    <xf numFmtId="167" fontId="24" fillId="24" borderId="10" xfId="0" applyNumberFormat="1" applyFont="1" applyFill="1" applyBorder="1"/>
    <xf numFmtId="0" fontId="23" fillId="31" borderId="18" xfId="0" applyFont="1" applyFill="1" applyBorder="1"/>
    <xf numFmtId="0" fontId="23" fillId="31" borderId="19" xfId="0" applyFont="1" applyFill="1" applyBorder="1"/>
    <xf numFmtId="0" fontId="25" fillId="26" borderId="0" xfId="0" applyFont="1" applyFill="1" applyAlignment="1">
      <alignment horizontal="center"/>
    </xf>
    <xf numFmtId="0" fontId="27" fillId="26" borderId="0" xfId="0" applyFont="1" applyFill="1"/>
    <xf numFmtId="0" fontId="26" fillId="26" borderId="0" xfId="0" applyFont="1" applyFill="1" applyAlignment="1">
      <alignment horizontal="center"/>
    </xf>
    <xf numFmtId="0" fontId="23" fillId="26" borderId="0" xfId="0" applyFont="1" applyFill="1"/>
    <xf numFmtId="0" fontId="23" fillId="33" borderId="18" xfId="0" applyFont="1" applyFill="1" applyBorder="1"/>
    <xf numFmtId="0" fontId="23" fillId="33" borderId="19" xfId="0" applyFont="1" applyFill="1" applyBorder="1"/>
    <xf numFmtId="0" fontId="23" fillId="32" borderId="18" xfId="0" applyFont="1" applyFill="1" applyBorder="1" applyAlignment="1">
      <alignment horizontal="right"/>
    </xf>
    <xf numFmtId="0" fontId="23" fillId="32" borderId="19" xfId="0" applyFont="1" applyFill="1" applyBorder="1"/>
    <xf numFmtId="0" fontId="23" fillId="30" borderId="18" xfId="0" applyFont="1" applyFill="1" applyBorder="1" applyAlignment="1">
      <alignment horizontal="right"/>
    </xf>
    <xf numFmtId="0" fontId="28" fillId="32" borderId="0" xfId="0" applyFont="1" applyFill="1"/>
    <xf numFmtId="0" fontId="28" fillId="30" borderId="0" xfId="0" applyFont="1" applyFill="1"/>
    <xf numFmtId="0" fontId="28" fillId="28" borderId="0" xfId="0" applyFont="1" applyFill="1"/>
    <xf numFmtId="0" fontId="28" fillId="31" borderId="0" xfId="0" applyFont="1" applyFill="1"/>
    <xf numFmtId="0" fontId="28" fillId="29" borderId="0" xfId="0" applyFont="1" applyFill="1"/>
    <xf numFmtId="0" fontId="28" fillId="33" borderId="0" xfId="0" applyFont="1" applyFill="1"/>
    <xf numFmtId="0" fontId="28" fillId="32" borderId="17" xfId="0" applyFont="1" applyFill="1" applyBorder="1"/>
    <xf numFmtId="0" fontId="28" fillId="30" borderId="17" xfId="0" applyFont="1" applyFill="1" applyBorder="1"/>
    <xf numFmtId="0" fontId="28" fillId="28" borderId="17" xfId="0" applyFont="1" applyFill="1" applyBorder="1"/>
    <xf numFmtId="0" fontId="28" fillId="31" borderId="17" xfId="0" applyFont="1" applyFill="1" applyBorder="1"/>
    <xf numFmtId="0" fontId="28" fillId="29" borderId="17" xfId="0" applyFont="1" applyFill="1" applyBorder="1"/>
    <xf numFmtId="0" fontId="28" fillId="33" borderId="17" xfId="0" applyFont="1" applyFill="1" applyBorder="1"/>
    <xf numFmtId="2" fontId="0" fillId="25" borderId="20" xfId="0" applyNumberFormat="1" applyFill="1" applyBorder="1"/>
    <xf numFmtId="0" fontId="0" fillId="25" borderId="20" xfId="0" applyFill="1" applyBorder="1"/>
    <xf numFmtId="3" fontId="0" fillId="25" borderId="20" xfId="0" applyNumberFormat="1" applyFill="1" applyBorder="1"/>
    <xf numFmtId="164" fontId="0" fillId="25" borderId="20" xfId="0" applyNumberFormat="1" applyFill="1" applyBorder="1"/>
    <xf numFmtId="0" fontId="20" fillId="26" borderId="0" xfId="0" applyFont="1" applyFill="1"/>
    <xf numFmtId="164" fontId="0" fillId="26" borderId="0" xfId="0" applyNumberFormat="1" applyFill="1"/>
    <xf numFmtId="0" fontId="2" fillId="0" borderId="14" xfId="0" applyFont="1" applyFill="1" applyBorder="1"/>
    <xf numFmtId="0" fontId="0" fillId="26" borderId="0" xfId="0" quotePrefix="1" applyFill="1"/>
    <xf numFmtId="0" fontId="0" fillId="34" borderId="0" xfId="0" applyFill="1"/>
    <xf numFmtId="0" fontId="0" fillId="34" borderId="0" xfId="0" applyFill="1" applyAlignment="1">
      <alignment horizontal="center"/>
    </xf>
    <xf numFmtId="0" fontId="30" fillId="34" borderId="0" xfId="0" applyFont="1" applyFill="1" applyAlignment="1">
      <alignment horizontal="center"/>
    </xf>
    <xf numFmtId="0" fontId="31" fillId="35" borderId="0" xfId="0" applyFont="1" applyFill="1"/>
    <xf numFmtId="0" fontId="0" fillId="35" borderId="0" xfId="0" applyFill="1"/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applyFill="1"/>
    <xf numFmtId="0" fontId="0" fillId="37" borderId="0" xfId="0" applyFill="1"/>
    <xf numFmtId="0" fontId="32" fillId="35" borderId="0" xfId="0" applyFont="1" applyFill="1" applyAlignment="1">
      <alignment horizontal="center"/>
    </xf>
    <xf numFmtId="0" fontId="32" fillId="36" borderId="0" xfId="0" applyFont="1" applyFill="1" applyAlignment="1">
      <alignment horizontal="center"/>
    </xf>
    <xf numFmtId="0" fontId="20" fillId="36" borderId="0" xfId="0" applyFont="1" applyFill="1"/>
    <xf numFmtId="0" fontId="30" fillId="37" borderId="0" xfId="0" applyFont="1" applyFill="1"/>
    <xf numFmtId="0" fontId="0" fillId="36" borderId="0" xfId="0" quotePrefix="1" applyFill="1"/>
    <xf numFmtId="0" fontId="0" fillId="37" borderId="0" xfId="0" quotePrefix="1" applyFill="1" applyAlignment="1">
      <alignment horizontal="center"/>
    </xf>
    <xf numFmtId="0" fontId="33" fillId="37" borderId="0" xfId="0" applyFont="1" applyFill="1"/>
    <xf numFmtId="0" fontId="2" fillId="36" borderId="0" xfId="0" quotePrefix="1" applyFont="1" applyFill="1"/>
    <xf numFmtId="0" fontId="31" fillId="35" borderId="0" xfId="0" applyFont="1" applyFill="1" applyAlignment="1">
      <alignment horizontal="center"/>
    </xf>
    <xf numFmtId="0" fontId="31" fillId="36" borderId="0" xfId="0" applyFont="1" applyFill="1" applyAlignment="1">
      <alignment horizontal="center"/>
    </xf>
    <xf numFmtId="1" fontId="31" fillId="35" borderId="0" xfId="0" applyNumberFormat="1" applyFont="1" applyFill="1" applyAlignment="1">
      <alignment horizontal="center"/>
    </xf>
    <xf numFmtId="0" fontId="31" fillId="35" borderId="0" xfId="0" applyFont="1" applyFill="1" applyAlignment="1">
      <alignment horizontal="left"/>
    </xf>
    <xf numFmtId="0" fontId="31" fillId="36" borderId="0" xfId="0" applyFont="1" applyFill="1"/>
    <xf numFmtId="1" fontId="31" fillId="36" borderId="0" xfId="0" applyNumberFormat="1" applyFont="1" applyFill="1" applyAlignment="1">
      <alignment horizontal="center"/>
    </xf>
    <xf numFmtId="0" fontId="31" fillId="36" borderId="0" xfId="0" applyFont="1" applyFill="1" applyAlignment="1">
      <alignment horizontal="left"/>
    </xf>
    <xf numFmtId="0" fontId="0" fillId="36" borderId="0" xfId="0" applyFill="1" applyAlignment="1"/>
    <xf numFmtId="0" fontId="34" fillId="37" borderId="0" xfId="0" quotePrefix="1" applyFont="1" applyFill="1" applyBorder="1"/>
    <xf numFmtId="0" fontId="20" fillId="35" borderId="0" xfId="0" applyFont="1" applyFill="1" applyBorder="1"/>
    <xf numFmtId="0" fontId="0" fillId="35" borderId="0" xfId="0" applyFill="1" applyBorder="1"/>
    <xf numFmtId="0" fontId="0" fillId="35" borderId="0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20" fillId="36" borderId="0" xfId="0" applyFont="1" applyFill="1" applyBorder="1"/>
    <xf numFmtId="0" fontId="0" fillId="36" borderId="0" xfId="0" applyFill="1" applyBorder="1"/>
    <xf numFmtId="0" fontId="31" fillId="37" borderId="0" xfId="0" quotePrefix="1" applyFont="1" applyFill="1" applyBorder="1" applyAlignment="1">
      <alignment wrapText="1"/>
    </xf>
    <xf numFmtId="0" fontId="0" fillId="37" borderId="0" xfId="0" applyFill="1" applyAlignment="1"/>
    <xf numFmtId="0" fontId="34" fillId="37" borderId="0" xfId="0" quotePrefix="1" applyFont="1" applyFill="1" applyBorder="1" applyAlignment="1">
      <alignment wrapText="1"/>
    </xf>
    <xf numFmtId="0" fontId="0" fillId="37" borderId="0" xfId="0" applyFill="1" applyAlignment="1">
      <alignment wrapText="1"/>
    </xf>
    <xf numFmtId="0" fontId="20" fillId="35" borderId="10" xfId="0" applyFont="1" applyFill="1" applyBorder="1"/>
    <xf numFmtId="0" fontId="0" fillId="35" borderId="10" xfId="0" applyFill="1" applyBorder="1"/>
    <xf numFmtId="0" fontId="0" fillId="24" borderId="18" xfId="0" applyFill="1" applyBorder="1"/>
    <xf numFmtId="0" fontId="0" fillId="24" borderId="19" xfId="0" applyFill="1" applyBorder="1" applyAlignment="1">
      <alignment horizontal="right"/>
    </xf>
    <xf numFmtId="0" fontId="2" fillId="24" borderId="19" xfId="0" applyFont="1" applyFill="1" applyBorder="1" applyAlignment="1">
      <alignment horizontal="right"/>
    </xf>
    <xf numFmtId="0" fontId="0" fillId="36" borderId="0" xfId="0" applyFill="1" applyBorder="1" applyAlignment="1">
      <alignment horizontal="right"/>
    </xf>
    <xf numFmtId="0" fontId="0" fillId="24" borderId="0" xfId="0" applyFill="1" applyBorder="1"/>
    <xf numFmtId="0" fontId="0" fillId="24" borderId="12" xfId="0" applyFill="1" applyBorder="1" applyAlignment="1">
      <alignment horizontal="right"/>
    </xf>
    <xf numFmtId="1" fontId="0" fillId="24" borderId="12" xfId="0" applyNumberFormat="1" applyFill="1" applyBorder="1" applyAlignment="1">
      <alignment horizontal="right"/>
    </xf>
    <xf numFmtId="3" fontId="0" fillId="24" borderId="12" xfId="0" applyNumberFormat="1" applyFill="1" applyBorder="1"/>
    <xf numFmtId="3" fontId="0" fillId="36" borderId="0" xfId="0" applyNumberFormat="1" applyFill="1" applyBorder="1"/>
    <xf numFmtId="0" fontId="0" fillId="25" borderId="12" xfId="0" applyFill="1" applyBorder="1"/>
    <xf numFmtId="3" fontId="0" fillId="25" borderId="12" xfId="0" applyNumberFormat="1" applyFill="1" applyBorder="1"/>
    <xf numFmtId="168" fontId="0" fillId="24" borderId="12" xfId="0" applyNumberFormat="1" applyFill="1" applyBorder="1"/>
    <xf numFmtId="169" fontId="0" fillId="24" borderId="12" xfId="0" applyNumberFormat="1" applyFill="1" applyBorder="1"/>
    <xf numFmtId="9" fontId="29" fillId="24" borderId="12" xfId="45" applyFont="1" applyFill="1" applyBorder="1"/>
    <xf numFmtId="9" fontId="29" fillId="36" borderId="0" xfId="45" applyFont="1" applyFill="1" applyBorder="1"/>
    <xf numFmtId="0" fontId="0" fillId="24" borderId="10" xfId="0" applyFill="1" applyBorder="1"/>
    <xf numFmtId="0" fontId="0" fillId="24" borderId="13" xfId="0" applyFill="1" applyBorder="1" applyAlignment="1">
      <alignment horizontal="right"/>
    </xf>
    <xf numFmtId="0" fontId="0" fillId="35" borderId="0" xfId="0" applyFill="1" applyBorder="1" applyAlignment="1">
      <alignment horizontal="right"/>
    </xf>
    <xf numFmtId="0" fontId="20" fillId="0" borderId="23" xfId="0" applyFont="1" applyFill="1" applyBorder="1"/>
    <xf numFmtId="0" fontId="20" fillId="0" borderId="24" xfId="0" applyFont="1" applyFill="1" applyBorder="1"/>
    <xf numFmtId="0" fontId="2" fillId="0" borderId="25" xfId="0" applyFont="1" applyFill="1" applyBorder="1" applyAlignment="1">
      <alignment horizontal="center"/>
    </xf>
    <xf numFmtId="0" fontId="20" fillId="36" borderId="0" xfId="0" applyFont="1" applyFill="1" applyBorder="1" applyAlignment="1">
      <alignment horizontal="center"/>
    </xf>
    <xf numFmtId="0" fontId="0" fillId="35" borderId="14" xfId="0" applyFill="1" applyBorder="1"/>
    <xf numFmtId="0" fontId="0" fillId="35" borderId="18" xfId="0" applyFill="1" applyBorder="1"/>
    <xf numFmtId="3" fontId="0" fillId="35" borderId="0" xfId="0" applyNumberFormat="1" applyFill="1" applyBorder="1"/>
    <xf numFmtId="9" fontId="0" fillId="35" borderId="12" xfId="45" applyFont="1" applyFill="1" applyBorder="1" applyAlignment="1">
      <alignment horizontal="center"/>
    </xf>
    <xf numFmtId="2" fontId="0" fillId="35" borderId="0" xfId="0" applyNumberFormat="1" applyFill="1" applyAlignment="1">
      <alignment horizontal="left"/>
    </xf>
    <xf numFmtId="2" fontId="0" fillId="36" borderId="0" xfId="0" applyNumberFormat="1" applyFill="1" applyAlignment="1">
      <alignment horizontal="left"/>
    </xf>
    <xf numFmtId="0" fontId="2" fillId="35" borderId="14" xfId="0" applyFont="1" applyFill="1" applyBorder="1"/>
    <xf numFmtId="2" fontId="0" fillId="36" borderId="0" xfId="0" applyNumberFormat="1" applyFill="1" applyBorder="1" applyAlignment="1">
      <alignment horizontal="center"/>
    </xf>
    <xf numFmtId="9" fontId="0" fillId="0" borderId="12" xfId="45" applyFont="1" applyFill="1" applyBorder="1" applyAlignment="1">
      <alignment horizontal="center"/>
    </xf>
    <xf numFmtId="2" fontId="0" fillId="35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165" fontId="0" fillId="0" borderId="12" xfId="45" applyNumberFormat="1" applyFont="1" applyFill="1" applyBorder="1" applyAlignment="1">
      <alignment horizontal="center"/>
    </xf>
    <xf numFmtId="164" fontId="0" fillId="35" borderId="0" xfId="0" applyNumberFormat="1" applyFill="1" applyBorder="1"/>
    <xf numFmtId="164" fontId="0" fillId="0" borderId="10" xfId="0" applyNumberFormat="1" applyFill="1" applyBorder="1"/>
    <xf numFmtId="9" fontId="0" fillId="0" borderId="13" xfId="45" applyFont="1" applyFill="1" applyBorder="1" applyAlignment="1">
      <alignment horizontal="center"/>
    </xf>
    <xf numFmtId="164" fontId="0" fillId="0" borderId="0" xfId="0" applyNumberFormat="1" applyFill="1" applyBorder="1"/>
    <xf numFmtId="0" fontId="20" fillId="0" borderId="11" xfId="0" applyFont="1" applyFill="1" applyBorder="1"/>
    <xf numFmtId="9" fontId="20" fillId="0" borderId="26" xfId="45" applyFont="1" applyFill="1" applyBorder="1" applyAlignment="1">
      <alignment horizontal="center"/>
    </xf>
    <xf numFmtId="2" fontId="20" fillId="36" borderId="0" xfId="0" applyNumberFormat="1" applyFont="1" applyFill="1" applyBorder="1" applyAlignment="1">
      <alignment horizontal="center"/>
    </xf>
    <xf numFmtId="3" fontId="20" fillId="36" borderId="0" xfId="0" applyNumberFormat="1" applyFont="1" applyFill="1" applyBorder="1"/>
    <xf numFmtId="166" fontId="20" fillId="35" borderId="27" xfId="0" applyNumberFormat="1" applyFont="1" applyFill="1" applyBorder="1"/>
    <xf numFmtId="2" fontId="20" fillId="35" borderId="28" xfId="0" applyNumberFormat="1" applyFont="1" applyFill="1" applyBorder="1" applyAlignment="1">
      <alignment horizontal="left"/>
    </xf>
    <xf numFmtId="166" fontId="20" fillId="36" borderId="27" xfId="0" applyNumberFormat="1" applyFont="1" applyFill="1" applyBorder="1"/>
    <xf numFmtId="2" fontId="20" fillId="36" borderId="28" xfId="0" applyNumberFormat="1" applyFont="1" applyFill="1" applyBorder="1" applyAlignment="1">
      <alignment horizontal="center"/>
    </xf>
    <xf numFmtId="0" fontId="2" fillId="36" borderId="0" xfId="0" applyFont="1" applyFill="1" applyAlignment="1">
      <alignment horizontal="center"/>
    </xf>
    <xf numFmtId="0" fontId="2" fillId="36" borderId="0" xfId="0" applyFont="1" applyFill="1"/>
    <xf numFmtId="0" fontId="30" fillId="36" borderId="0" xfId="0" applyFont="1" applyFill="1"/>
    <xf numFmtId="0" fontId="20" fillId="35" borderId="0" xfId="0" applyFont="1" applyFill="1"/>
    <xf numFmtId="0" fontId="2" fillId="35" borderId="0" xfId="0" quotePrefix="1" applyFont="1" applyFill="1"/>
    <xf numFmtId="0" fontId="0" fillId="35" borderId="0" xfId="0" quotePrefix="1" applyFill="1"/>
    <xf numFmtId="0" fontId="35" fillId="35" borderId="0" xfId="0" applyFont="1" applyFill="1"/>
    <xf numFmtId="0" fontId="35" fillId="35" borderId="0" xfId="0" applyFont="1" applyFill="1" applyAlignment="1">
      <alignment horizontal="center"/>
    </xf>
    <xf numFmtId="0" fontId="35" fillId="36" borderId="0" xfId="0" applyFont="1" applyFill="1" applyAlignment="1">
      <alignment horizontal="center"/>
    </xf>
    <xf numFmtId="0" fontId="35" fillId="36" borderId="0" xfId="0" applyFont="1" applyFill="1"/>
    <xf numFmtId="0" fontId="31" fillId="37" borderId="0" xfId="0" applyFont="1" applyFill="1" applyAlignment="1">
      <alignment horizontal="left"/>
    </xf>
    <xf numFmtId="0" fontId="36" fillId="35" borderId="0" xfId="0" applyFont="1" applyFill="1"/>
    <xf numFmtId="0" fontId="2" fillId="36" borderId="0" xfId="0" applyFont="1" applyFill="1" applyAlignment="1">
      <alignment horizontal="right"/>
    </xf>
    <xf numFmtId="0" fontId="0" fillId="0" borderId="19" xfId="0" applyFill="1" applyBorder="1" applyAlignment="1"/>
    <xf numFmtId="0" fontId="2" fillId="36" borderId="0" xfId="0" applyFont="1" applyFill="1" applyAlignment="1">
      <alignment horizontal="left"/>
    </xf>
    <xf numFmtId="0" fontId="0" fillId="35" borderId="12" xfId="0" applyFill="1" applyBorder="1" applyAlignment="1"/>
    <xf numFmtId="0" fontId="2" fillId="35" borderId="0" xfId="0" applyFont="1" applyFill="1" applyBorder="1"/>
    <xf numFmtId="0" fontId="2" fillId="35" borderId="12" xfId="0" applyFont="1" applyFill="1" applyBorder="1" applyAlignment="1">
      <alignment horizontal="right"/>
    </xf>
    <xf numFmtId="0" fontId="0" fillId="0" borderId="12" xfId="0" applyFill="1" applyBorder="1" applyAlignment="1"/>
    <xf numFmtId="0" fontId="2" fillId="0" borderId="0" xfId="0" applyFont="1" applyFill="1" applyBorder="1"/>
    <xf numFmtId="0" fontId="2" fillId="0" borderId="12" xfId="0" applyFont="1" applyFill="1" applyBorder="1" applyAlignment="1">
      <alignment horizontal="right"/>
    </xf>
    <xf numFmtId="2" fontId="2" fillId="36" borderId="0" xfId="0" applyNumberFormat="1" applyFont="1" applyFill="1" applyAlignment="1">
      <alignment horizontal="right"/>
    </xf>
    <xf numFmtId="3" fontId="0" fillId="35" borderId="12" xfId="0" applyNumberFormat="1" applyFill="1" applyBorder="1" applyAlignment="1"/>
    <xf numFmtId="0" fontId="2" fillId="35" borderId="15" xfId="0" applyFont="1" applyFill="1" applyBorder="1"/>
    <xf numFmtId="0" fontId="2" fillId="35" borderId="10" xfId="0" applyFont="1" applyFill="1" applyBorder="1"/>
    <xf numFmtId="3" fontId="2" fillId="35" borderId="13" xfId="0" applyNumberFormat="1" applyFont="1" applyFill="1" applyBorder="1" applyAlignment="1">
      <alignment horizontal="right"/>
    </xf>
    <xf numFmtId="1" fontId="0" fillId="0" borderId="13" xfId="0" applyNumberFormat="1" applyFill="1" applyBorder="1" applyAlignment="1"/>
    <xf numFmtId="168" fontId="2" fillId="36" borderId="0" xfId="0" applyNumberFormat="1" applyFont="1" applyFill="1"/>
    <xf numFmtId="0" fontId="2" fillId="0" borderId="17" xfId="0" applyFont="1" applyBorder="1"/>
    <xf numFmtId="0" fontId="0" fillId="0" borderId="18" xfId="0" applyBorder="1"/>
    <xf numFmtId="164" fontId="0" fillId="0" borderId="19" xfId="0" applyNumberFormat="1" applyBorder="1"/>
    <xf numFmtId="0" fontId="20" fillId="0" borderId="17" xfId="0" applyFont="1" applyBorder="1"/>
    <xf numFmtId="0" fontId="0" fillId="0" borderId="19" xfId="0" applyBorder="1"/>
    <xf numFmtId="164" fontId="0" fillId="35" borderId="12" xfId="0" applyNumberFormat="1" applyFill="1" applyBorder="1"/>
    <xf numFmtId="2" fontId="0" fillId="35" borderId="12" xfId="0" applyNumberFormat="1" applyFill="1" applyBorder="1"/>
    <xf numFmtId="0" fontId="2" fillId="0" borderId="14" xfId="0" applyFont="1" applyBorder="1"/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0" fillId="35" borderId="12" xfId="0" applyFill="1" applyBorder="1"/>
    <xf numFmtId="0" fontId="0" fillId="0" borderId="16" xfId="0" applyBorder="1"/>
    <xf numFmtId="166" fontId="0" fillId="0" borderId="11" xfId="0" applyNumberFormat="1" applyBorder="1"/>
    <xf numFmtId="166" fontId="0" fillId="0" borderId="26" xfId="0" applyNumberFormat="1" applyBorder="1"/>
    <xf numFmtId="9" fontId="2" fillId="36" borderId="0" xfId="45" applyFont="1" applyFill="1"/>
    <xf numFmtId="0" fontId="0" fillId="35" borderId="0" xfId="0" applyFill="1" applyAlignment="1">
      <alignment horizontal="left"/>
    </xf>
    <xf numFmtId="0" fontId="2" fillId="0" borderId="17" xfId="0" applyFont="1" applyFill="1" applyBorder="1"/>
    <xf numFmtId="0" fontId="2" fillId="0" borderId="18" xfId="0" applyFont="1" applyFill="1" applyBorder="1"/>
    <xf numFmtId="168" fontId="2" fillId="0" borderId="19" xfId="0" applyNumberFormat="1" applyFont="1" applyFill="1" applyBorder="1"/>
    <xf numFmtId="1" fontId="2" fillId="36" borderId="0" xfId="0" applyNumberFormat="1" applyFont="1" applyFill="1"/>
    <xf numFmtId="168" fontId="2" fillId="35" borderId="12" xfId="0" applyNumberFormat="1" applyFont="1" applyFill="1" applyBorder="1"/>
    <xf numFmtId="0" fontId="2" fillId="35" borderId="16" xfId="0" applyFont="1" applyFill="1" applyBorder="1"/>
    <xf numFmtId="0" fontId="2" fillId="35" borderId="11" xfId="0" applyFont="1" applyFill="1" applyBorder="1"/>
    <xf numFmtId="1" fontId="2" fillId="35" borderId="26" xfId="0" applyNumberFormat="1" applyFont="1" applyFill="1" applyBorder="1"/>
    <xf numFmtId="168" fontId="2" fillId="0" borderId="12" xfId="0" applyNumberFormat="1" applyFont="1" applyFill="1" applyBorder="1"/>
    <xf numFmtId="169" fontId="0" fillId="0" borderId="10" xfId="0" applyNumberFormat="1" applyFill="1" applyBorder="1"/>
    <xf numFmtId="0" fontId="20" fillId="0" borderId="15" xfId="0" applyFont="1" applyFill="1" applyBorder="1"/>
    <xf numFmtId="166" fontId="20" fillId="0" borderId="10" xfId="0" applyNumberFormat="1" applyFont="1" applyFill="1" applyBorder="1"/>
    <xf numFmtId="0" fontId="20" fillId="0" borderId="13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2" fontId="23" fillId="24" borderId="20" xfId="0" applyNumberFormat="1" applyFont="1" applyFill="1" applyBorder="1"/>
    <xf numFmtId="0" fontId="0" fillId="0" borderId="22" xfId="0" applyFill="1" applyBorder="1"/>
    <xf numFmtId="9" fontId="23" fillId="24" borderId="20" xfId="45" applyFont="1" applyFill="1" applyBorder="1"/>
    <xf numFmtId="0" fontId="23" fillId="24" borderId="29" xfId="0" applyFont="1" applyFill="1" applyBorder="1"/>
    <xf numFmtId="0" fontId="23" fillId="38" borderId="17" xfId="0" applyFont="1" applyFill="1" applyBorder="1"/>
    <xf numFmtId="164" fontId="23" fillId="38" borderId="20" xfId="0" applyNumberFormat="1" applyFont="1" applyFill="1" applyBorder="1"/>
    <xf numFmtId="0" fontId="23" fillId="38" borderId="19" xfId="0" applyFont="1" applyFill="1" applyBorder="1"/>
    <xf numFmtId="0" fontId="23" fillId="38" borderId="14" xfId="0" applyFont="1" applyFill="1" applyBorder="1"/>
    <xf numFmtId="0" fontId="23" fillId="38" borderId="20" xfId="0" applyFont="1" applyFill="1" applyBorder="1"/>
    <xf numFmtId="0" fontId="23" fillId="38" borderId="12" xfId="0" applyFont="1" applyFill="1" applyBorder="1"/>
    <xf numFmtId="9" fontId="23" fillId="24" borderId="20" xfId="37" applyFont="1" applyFill="1" applyBorder="1"/>
    <xf numFmtId="1" fontId="23" fillId="38" borderId="20" xfId="0" applyNumberFormat="1" applyFont="1" applyFill="1" applyBorder="1"/>
    <xf numFmtId="0" fontId="2" fillId="0" borderId="24" xfId="0" applyFont="1" applyFill="1" applyBorder="1" applyAlignment="1">
      <alignment horizontal="right"/>
    </xf>
    <xf numFmtId="0" fontId="0" fillId="36" borderId="0" xfId="0" quotePrefix="1" applyFill="1" applyAlignment="1">
      <alignment horizontal="center"/>
    </xf>
    <xf numFmtId="0" fontId="0" fillId="36" borderId="0" xfId="0" applyFill="1" applyAlignment="1"/>
    <xf numFmtId="0" fontId="31" fillId="37" borderId="0" xfId="0" quotePrefix="1" applyFont="1" applyFill="1" applyBorder="1" applyAlignment="1">
      <alignment wrapText="1"/>
    </xf>
    <xf numFmtId="0" fontId="0" fillId="0" borderId="0" xfId="0" applyAlignment="1">
      <alignment wrapText="1"/>
    </xf>
    <xf numFmtId="0" fontId="31" fillId="37" borderId="0" xfId="0" quotePrefix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0" fillId="36" borderId="0" xfId="0" applyFont="1" applyFill="1" applyAlignment="1">
      <alignment horizontal="center"/>
    </xf>
    <xf numFmtId="0" fontId="0" fillId="36" borderId="0" xfId="0" applyFill="1" applyAlignment="1">
      <alignment horizont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erekening" xfId="25" xr:uid="{00000000-0005-0000-0000-000018000000}"/>
    <cellStyle name="Controlecel" xfId="26" xr:uid="{00000000-0005-0000-0000-000019000000}"/>
    <cellStyle name="Gekoppelde cel" xfId="27" xr:uid="{00000000-0005-0000-0000-00001A000000}"/>
    <cellStyle name="Goed" xfId="28" xr:uid="{00000000-0005-0000-0000-00001B000000}"/>
    <cellStyle name="Invoer" xfId="29" xr:uid="{00000000-0005-0000-0000-00001C000000}"/>
    <cellStyle name="Kop 1" xfId="30" xr:uid="{00000000-0005-0000-0000-00001D000000}"/>
    <cellStyle name="Kop 2" xfId="31" xr:uid="{00000000-0005-0000-0000-00001E000000}"/>
    <cellStyle name="Kop 3" xfId="32" xr:uid="{00000000-0005-0000-0000-00001F000000}"/>
    <cellStyle name="Kop 4" xfId="33" xr:uid="{00000000-0005-0000-0000-000020000000}"/>
    <cellStyle name="Neutraal" xfId="34" xr:uid="{00000000-0005-0000-0000-000021000000}"/>
    <cellStyle name="Normal" xfId="0" builtinId="0"/>
    <cellStyle name="Normal 2" xfId="43" xr:uid="{00000000-0005-0000-0000-000023000000}"/>
    <cellStyle name="Notitie" xfId="35" xr:uid="{00000000-0005-0000-0000-000024000000}"/>
    <cellStyle name="Ongeldig" xfId="36" xr:uid="{00000000-0005-0000-0000-000025000000}"/>
    <cellStyle name="Procent" xfId="37" builtinId="5"/>
    <cellStyle name="Procent 2" xfId="44" xr:uid="{00000000-0005-0000-0000-000027000000}"/>
    <cellStyle name="Procent 3" xfId="45" xr:uid="{00000000-0005-0000-0000-000028000000}"/>
    <cellStyle name="Titel" xfId="38" xr:uid="{00000000-0005-0000-0000-000029000000}"/>
    <cellStyle name="Totaal" xfId="39" xr:uid="{00000000-0005-0000-0000-00002A000000}"/>
    <cellStyle name="Uitvoer" xfId="40" xr:uid="{00000000-0005-0000-0000-00002B000000}"/>
    <cellStyle name="Waarschuwingstekst" xfId="41" xr:uid="{00000000-0005-0000-0000-00002C000000}"/>
    <cellStyle name="Verklarende tekst" xfId="42" xr:uid="{00000000-0005-0000-0000-00002D000000}"/>
  </cellStyles>
  <dxfs count="0"/>
  <tableStyles count="0" defaultTableStyle="TableStyleMedium9" defaultPivotStyle="PivotStyleLight16"/>
  <colors>
    <mruColors>
      <color rgb="FF008899"/>
      <color rgb="FF798B6A"/>
      <color rgb="FFC5B064"/>
      <color rgb="FF9A1915"/>
      <color rgb="FF00692F"/>
      <color rgb="FF79276A"/>
      <color rgb="FFCE6A13"/>
      <color rgb="FFE1DC00"/>
      <color rgb="FF009A3E"/>
      <color rgb="FFF7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 coating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0029879102696857"/>
          <c:y val="0.17333367800565441"/>
          <c:w val="0.56784423534239559"/>
          <c:h val="0.780208720225981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13-458F-B3B2-21B4140C2A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13-458F-B3B2-21B4140C2A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13-458F-B3B2-21B4140C2A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13-458F-B3B2-21B4140C2A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13-458F-B3B2-21B4140C2A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113-458F-B3B2-21B4140C2A72}"/>
              </c:ext>
            </c:extLst>
          </c:dPt>
          <c:dPt>
            <c:idx val="6"/>
            <c:bubble3D val="0"/>
            <c:explosion val="11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113-458F-B3B2-21B4140C2A72}"/>
              </c:ext>
            </c:extLst>
          </c:dPt>
          <c:dLbls>
            <c:dLbl>
              <c:idx val="0"/>
              <c:layout>
                <c:manualLayout>
                  <c:x val="-0.11775530116169396"/>
                  <c:y val="-9.22721918254103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3-458F-B3B2-21B4140C2A7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113-458F-B3B2-21B4140C2A72}"/>
                </c:ext>
              </c:extLst>
            </c:dLbl>
            <c:dLbl>
              <c:idx val="2"/>
              <c:layout>
                <c:manualLayout>
                  <c:x val="0.14719412645211738"/>
                  <c:y val="9.22721918254103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13-458F-B3B2-21B4140C2A7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113-458F-B3B2-21B4140C2A7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113-458F-B3B2-21B4140C2A7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113-458F-B3B2-21B4140C2A7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113-458F-B3B2-21B4140C2A7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'Coating cost calc HQS '!$B$70:$B$76</c:f>
              <c:strCache>
                <c:ptCount val="7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  <c:pt idx="6">
                  <c:v>Saving</c:v>
                </c:pt>
              </c:strCache>
            </c:strRef>
          </c:cat>
          <c:val>
            <c:numRef>
              <c:f>'Coating cost calc HQS '!$C$70:$C$76</c:f>
              <c:numCache>
                <c:formatCode>#\ ##0.000</c:formatCode>
                <c:ptCount val="7"/>
                <c:pt idx="0">
                  <c:v>1.4098972922502334E-3</c:v>
                </c:pt>
                <c:pt idx="1">
                  <c:v>2.7450980392156863E-3</c:v>
                </c:pt>
                <c:pt idx="2">
                  <c:v>4.6685340802987837E-4</c:v>
                </c:pt>
                <c:pt idx="3">
                  <c:v>1.2799019607843137E-2</c:v>
                </c:pt>
                <c:pt idx="4">
                  <c:v>1.5E-3</c:v>
                </c:pt>
                <c:pt idx="5">
                  <c:v>1.925E-2</c:v>
                </c:pt>
                <c:pt idx="6">
                  <c:v>3.9406512605042021E-2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13-458F-B3B2-21B4140C2A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113-458F-B3B2-21B4140C2A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113-458F-B3B2-21B4140C2A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113-458F-B3B2-21B4140C2A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113-458F-B3B2-21B4140C2A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113-458F-B3B2-21B4140C2A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9113-458F-B3B2-21B4140C2A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9113-458F-B3B2-21B4140C2A7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9113-458F-B3B2-21B4140C2A7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9113-458F-B3B2-21B4140C2A7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9113-458F-B3B2-21B4140C2A7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9113-458F-B3B2-21B4140C2A7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9113-458F-B3B2-21B4140C2A7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9113-458F-B3B2-21B4140C2A7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9113-458F-B3B2-21B4140C2A7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'Coating cost calc HQS '!$B$70:$B$76</c:f>
              <c:strCache>
                <c:ptCount val="7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  <c:pt idx="6">
                  <c:v>Saving</c:v>
                </c:pt>
              </c:strCache>
            </c:strRef>
          </c:cat>
          <c:val>
            <c:numRef>
              <c:f>'Coating cost calc HQS '!$D$70:$D$76</c:f>
              <c:numCache>
                <c:formatCode>0.0%</c:formatCode>
                <c:ptCount val="7"/>
                <c:pt idx="0">
                  <c:v>1.8174076966012368E-2</c:v>
                </c:pt>
                <c:pt idx="1">
                  <c:v>3.5385288927202892E-2</c:v>
                </c:pt>
                <c:pt idx="2">
                  <c:v>6.0179062801365433E-3</c:v>
                </c:pt>
                <c:pt idx="3">
                  <c:v>0.16498390962308349</c:v>
                </c:pt>
                <c:pt idx="4">
                  <c:v>1.9335532878078723E-2</c:v>
                </c:pt>
                <c:pt idx="5">
                  <c:v>0.24813933860201026</c:v>
                </c:pt>
                <c:pt idx="6">
                  <c:v>0.50796394672347578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113-458F-B3B2-21B4140C2A7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 coating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0029879102696857"/>
          <c:y val="0.17333367800565441"/>
          <c:w val="0.56784423534239559"/>
          <c:h val="0.780208720225981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6DF-4553-A8F7-F74181088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DF-4553-A8F7-F74181088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6DF-4553-A8F7-F74181088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DF-4553-A8F7-F741810885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6DF-4553-A8F7-F741810885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DF-4553-A8F7-F741810885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6DF-4553-A8F7-F741810885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DF-4553-A8F7-F7418108850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86DF-4553-A8F7-F7418108850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6DF-4553-A8F7-F7418108850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86DF-4553-A8F7-F7418108850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6DF-4553-A8F7-F7418108850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'Coating cost calc hook'!$B$70:$B$76</c15:sqref>
                  </c15:fullRef>
                </c:ext>
              </c:extLst>
              <c:f>'Coating cost calc hook'!$B$70:$B$75</c:f>
              <c:strCache>
                <c:ptCount val="6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'Coating cost calc hook'!$C$70:$C$76</c15:sqref>
                  </c15:fullRef>
                </c:ext>
              </c:extLst>
              <c:f>'Coating cost calc hook'!$C$70:$C$75</c:f>
              <c:numCache>
                <c:formatCode>#\ ##0.000</c:formatCode>
                <c:ptCount val="6"/>
                <c:pt idx="0">
                  <c:v>1.1984126984126984E-2</c:v>
                </c:pt>
                <c:pt idx="1">
                  <c:v>2.3333333333333334E-2</c:v>
                </c:pt>
                <c:pt idx="2">
                  <c:v>3.9682539682539663E-3</c:v>
                </c:pt>
                <c:pt idx="3">
                  <c:v>3.229166666666667E-2</c:v>
                </c:pt>
                <c:pt idx="4">
                  <c:v>1E-3</c:v>
                </c:pt>
                <c:pt idx="5">
                  <c:v>5.0000000000000001E-3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'Coating cost calc hook'!$C$76</c15:sqref>
                  <c15:explosion val="11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86DF-4553-A8F7-F741810885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86DF-4553-A8F7-F74181088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DF-4553-A8F7-F74181088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6DF-4553-A8F7-F741810885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DF-4553-A8F7-F741810885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86DF-4553-A8F7-F741810885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DF-4553-A8F7-F741810885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86DF-4553-A8F7-F741810885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6DF-4553-A8F7-F7418108850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86DF-4553-A8F7-F7418108850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6DF-4553-A8F7-F7418108850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86DF-4553-A8F7-F7418108850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6DF-4553-A8F7-F7418108850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'Coating cost calc hook'!$B$70:$B$76</c15:sqref>
                  </c15:fullRef>
                </c:ext>
              </c:extLst>
              <c:f>'Coating cost calc hook'!$B$70:$B$75</c:f>
              <c:strCache>
                <c:ptCount val="6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 </c:v>
                </c:pt>
                <c:pt idx="5">
                  <c:v>Cost hanging point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'Coating cost calc hook'!$D$70:$D$76</c15:sqref>
                  </c15:fullRef>
                </c:ext>
              </c:extLst>
              <c:f>'Coating cost calc hook'!$D$70:$D$75</c:f>
              <c:numCache>
                <c:formatCode>0.0%</c:formatCode>
                <c:ptCount val="6"/>
                <c:pt idx="0">
                  <c:v>0.15463389656938045</c:v>
                </c:pt>
                <c:pt idx="1">
                  <c:v>0.30107526881720431</c:v>
                </c:pt>
                <c:pt idx="2">
                  <c:v>5.1203277009728598E-2</c:v>
                </c:pt>
                <c:pt idx="3">
                  <c:v>0.41666666666666669</c:v>
                </c:pt>
                <c:pt idx="4">
                  <c:v>1.2903225806451613E-2</c:v>
                </c:pt>
                <c:pt idx="5">
                  <c:v>6.4516129032258063E-2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1-86DF-4553-A8F7-F7418108850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Lång Sikt- Lackkostnads index 62</a:t>
            </a:r>
          </a:p>
        </c:rich>
      </c:tx>
      <c:layout>
        <c:manualLayout>
          <c:xMode val="edge"/>
          <c:yMode val="edge"/>
          <c:x val="0.174129875556600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51-4147-9459-4EA7E745E58E}"/>
              </c:ext>
            </c:extLst>
          </c:dPt>
          <c:dLbls>
            <c:dLbl>
              <c:idx val="0"/>
              <c:layout>
                <c:manualLayout>
                  <c:x val="4.0507801113562003E-2"/>
                  <c:y val="-6.88472631598584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51-4147-9459-4EA7E745E58E}"/>
                </c:ext>
              </c:extLst>
            </c:dLbl>
            <c:dLbl>
              <c:idx val="1"/>
              <c:layout>
                <c:manualLayout>
                  <c:x val="0.1294102080673519"/>
                  <c:y val="-6.9676867470847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51-4147-9459-4EA7E745E58E}"/>
                </c:ext>
              </c:extLst>
            </c:dLbl>
            <c:dLbl>
              <c:idx val="2"/>
              <c:layout>
                <c:manualLayout>
                  <c:x val="8.3587403697733334E-2"/>
                  <c:y val="7.544121052457569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51-4147-9459-4EA7E745E58E}"/>
                </c:ext>
              </c:extLst>
            </c:dLbl>
            <c:dLbl>
              <c:idx val="3"/>
              <c:layout>
                <c:manualLayout>
                  <c:x val="-0.22782911240820555"/>
                  <c:y val="2.96150515512696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51-4147-9459-4EA7E745E58E}"/>
                </c:ext>
              </c:extLst>
            </c:dLbl>
            <c:dLbl>
              <c:idx val="4"/>
              <c:layout>
                <c:manualLayout>
                  <c:x val="-3.8453777632091492E-2"/>
                  <c:y val="4.05606749017880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51-4147-9459-4EA7E745E58E}"/>
                </c:ext>
              </c:extLst>
            </c:dLbl>
            <c:dLbl>
              <c:idx val="5"/>
              <c:layout>
                <c:manualLayout>
                  <c:x val="-6.9227522588814316E-2"/>
                  <c:y val="-9.36689347800687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51-4147-9459-4EA7E745E58E}"/>
                </c:ext>
              </c:extLst>
            </c:dLbl>
            <c:dLbl>
              <c:idx val="6"/>
              <c:layout>
                <c:manualLayout>
                  <c:x val="0.10682343946352144"/>
                  <c:y val="-0.120195200706949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51-4147-9459-4EA7E745E5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751-4147-9459-4EA7E745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339966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Standard</a:t>
            </a:r>
            <a:r>
              <a:rPr lang="en-US" baseline="0"/>
              <a:t> hook - cost index 100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'HQS PH#11'!$B$59:$B$64</c:f>
              <c:strCache>
                <c:ptCount val="6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</c:v>
                </c:pt>
                <c:pt idx="5">
                  <c:v>Cost hanging point</c:v>
                </c:pt>
              </c:strCache>
            </c:strRef>
          </c:tx>
          <c:dLbls>
            <c:dLbl>
              <c:idx val="0"/>
              <c:layout>
                <c:manualLayout>
                  <c:x val="-0.13575986490697584"/>
                  <c:y val="0.182248432737814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9-4493-88D3-7C3202670241}"/>
                </c:ext>
              </c:extLst>
            </c:dLbl>
            <c:dLbl>
              <c:idx val="1"/>
              <c:layout>
                <c:manualLayout>
                  <c:x val="-0.21394466131308237"/>
                  <c:y val="9.865525428966674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9-4493-88D3-7C3202670241}"/>
                </c:ext>
              </c:extLst>
            </c:dLbl>
            <c:dLbl>
              <c:idx val="2"/>
              <c:layout>
                <c:manualLayout>
                  <c:x val="8.5717980454823664E-3"/>
                  <c:y val="3.46420718388604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69-4493-88D3-7C3202670241}"/>
                </c:ext>
              </c:extLst>
            </c:dLbl>
            <c:dLbl>
              <c:idx val="4"/>
              <c:layout>
                <c:manualLayout>
                  <c:x val="-0.12136322662638455"/>
                  <c:y val="4.95247693954463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69-4493-88D3-7C3202670241}"/>
                </c:ext>
              </c:extLst>
            </c:dLbl>
            <c:dLbl>
              <c:idx val="5"/>
              <c:layout>
                <c:manualLayout>
                  <c:x val="3.7964880070143231E-2"/>
                  <c:y val="9.3503756218884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69-4493-88D3-7C3202670241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'HQS PH#11'!$B$59:$B$64</c:f>
              <c:strCache>
                <c:ptCount val="6"/>
                <c:pt idx="0">
                  <c:v>Fixed line cost</c:v>
                </c:pt>
                <c:pt idx="1">
                  <c:v>Energy</c:v>
                </c:pt>
                <c:pt idx="2">
                  <c:v>Variable line cost</c:v>
                </c:pt>
                <c:pt idx="3">
                  <c:v>Blue collar</c:v>
                </c:pt>
                <c:pt idx="4">
                  <c:v>Powder</c:v>
                </c:pt>
                <c:pt idx="5">
                  <c:v>Cost hanging point</c:v>
                </c:pt>
              </c:strCache>
            </c:strRef>
          </c:cat>
          <c:val>
            <c:numRef>
              <c:f>'HQS PH#11'!$F$59:$F$64</c:f>
              <c:numCache>
                <c:formatCode>0%</c:formatCode>
                <c:ptCount val="6"/>
                <c:pt idx="0">
                  <c:v>0.13176861650555985</c:v>
                </c:pt>
                <c:pt idx="1">
                  <c:v>0.20497340345309312</c:v>
                </c:pt>
                <c:pt idx="2">
                  <c:v>3.6602393473766634E-2</c:v>
                </c:pt>
                <c:pt idx="3">
                  <c:v>0.56470172651327155</c:v>
                </c:pt>
                <c:pt idx="4">
                  <c:v>2.5704862689531566E-2</c:v>
                </c:pt>
                <c:pt idx="5">
                  <c:v>3.6248997364777408E-2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69-4493-88D3-7C32026702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Smart hanging HQS prehanging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'HQS PH#11'!$I$59:$I$65</c:f>
              <c:strCache>
                <c:ptCount val="7"/>
                <c:pt idx="0">
                  <c:v>Savings</c:v>
                </c:pt>
                <c:pt idx="1">
                  <c:v>Fixed line cost</c:v>
                </c:pt>
                <c:pt idx="2">
                  <c:v>Energy</c:v>
                </c:pt>
                <c:pt idx="3">
                  <c:v>Variable line cost</c:v>
                </c:pt>
                <c:pt idx="4">
                  <c:v>Blue collar</c:v>
                </c:pt>
                <c:pt idx="5">
                  <c:v>Powder</c:v>
                </c:pt>
                <c:pt idx="6">
                  <c:v>Cost hanging point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E721-4162-803F-0ECE84A75875}"/>
              </c:ext>
            </c:extLst>
          </c:dPt>
          <c:dLbls>
            <c:dLbl>
              <c:idx val="0"/>
              <c:layout>
                <c:manualLayout>
                  <c:x val="-0.17222566458266853"/>
                  <c:y val="9.77337037818276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1-4162-803F-0ECE84A75875}"/>
                </c:ext>
              </c:extLst>
            </c:dLbl>
            <c:dLbl>
              <c:idx val="1"/>
              <c:layout>
                <c:manualLayout>
                  <c:x val="0.11794967319305157"/>
                  <c:y val="-8.9320905912476848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72688281135867"/>
                      <c:h val="0.1059110590623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721-4162-803F-0ECE84A75875}"/>
                </c:ext>
              </c:extLst>
            </c:dLbl>
            <c:dLbl>
              <c:idx val="2"/>
              <c:layout>
                <c:manualLayout>
                  <c:x val="-0.13429728325462612"/>
                  <c:y val="2.9635447193889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1-4162-803F-0ECE84A75875}"/>
                </c:ext>
              </c:extLst>
            </c:dLbl>
            <c:dLbl>
              <c:idx val="3"/>
              <c:layout>
                <c:manualLayout>
                  <c:x val="-8.5175296098166778E-2"/>
                  <c:y val="-0.121224065036961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54909856487084"/>
                      <c:h val="0.142661366014387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721-4162-803F-0ECE84A75875}"/>
                </c:ext>
              </c:extLst>
            </c:dLbl>
            <c:dLbl>
              <c:idx val="5"/>
              <c:layout>
                <c:manualLayout>
                  <c:x val="-7.5996181956710068E-2"/>
                  <c:y val="-2.67358738278403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21-4162-803F-0ECE84A7587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'HQS PH#11'!$I$59:$I$65</c:f>
              <c:strCache>
                <c:ptCount val="7"/>
                <c:pt idx="0">
                  <c:v>Savings</c:v>
                </c:pt>
                <c:pt idx="1">
                  <c:v>Fixed line cost</c:v>
                </c:pt>
                <c:pt idx="2">
                  <c:v>Energy</c:v>
                </c:pt>
                <c:pt idx="3">
                  <c:v>Variable line cost</c:v>
                </c:pt>
                <c:pt idx="4">
                  <c:v>Blue collar</c:v>
                </c:pt>
                <c:pt idx="5">
                  <c:v>Powder</c:v>
                </c:pt>
                <c:pt idx="6">
                  <c:v>Cost hanging point</c:v>
                </c:pt>
              </c:strCache>
            </c:strRef>
          </c:cat>
          <c:val>
            <c:numRef>
              <c:f>'HQS PH#11'!$M$59:$M$65</c:f>
              <c:numCache>
                <c:formatCode>0%</c:formatCode>
                <c:ptCount val="7"/>
                <c:pt idx="0">
                  <c:v>0.47682764163673563</c:v>
                </c:pt>
                <c:pt idx="1">
                  <c:v>5.9322790952114998E-2</c:v>
                </c:pt>
                <c:pt idx="2">
                  <c:v>2.4837953594904223E-2</c:v>
                </c:pt>
                <c:pt idx="3" formatCode="0.0%">
                  <c:v>4.4353488562328966E-3</c:v>
                </c:pt>
                <c:pt idx="4">
                  <c:v>0.19115121529014831</c:v>
                </c:pt>
                <c:pt idx="5">
                  <c:v>2.5704862689531566E-2</c:v>
                </c:pt>
                <c:pt idx="6">
                  <c:v>0.21772018698033233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21-4162-803F-0ECE84A758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Smart hanging HQS online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'HQS PH#11'!$O$59:$O$65</c:f>
              <c:strCache>
                <c:ptCount val="7"/>
                <c:pt idx="0">
                  <c:v>Savings</c:v>
                </c:pt>
                <c:pt idx="1">
                  <c:v>Fixed line cost</c:v>
                </c:pt>
                <c:pt idx="2">
                  <c:v>Energy</c:v>
                </c:pt>
                <c:pt idx="3">
                  <c:v>Variable line cost</c:v>
                </c:pt>
                <c:pt idx="4">
                  <c:v>Blue collar</c:v>
                </c:pt>
                <c:pt idx="5">
                  <c:v>Powder</c:v>
                </c:pt>
                <c:pt idx="6">
                  <c:v>Cost hanging point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122-4A70-9B47-75A22E5B9B30}"/>
              </c:ext>
            </c:extLst>
          </c:dPt>
          <c:dLbls>
            <c:dLbl>
              <c:idx val="0"/>
              <c:layout>
                <c:manualLayout>
                  <c:x val="-0.20130284102939858"/>
                  <c:y val="-1.82363501227133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2-4A70-9B47-75A22E5B9B30}"/>
                </c:ext>
              </c:extLst>
            </c:dLbl>
            <c:dLbl>
              <c:idx val="1"/>
              <c:layout>
                <c:manualLayout>
                  <c:x val="6.304283435593612E-2"/>
                  <c:y val="1.89848595845959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2-4A70-9B47-75A22E5B9B30}"/>
                </c:ext>
              </c:extLst>
            </c:dLbl>
            <c:dLbl>
              <c:idx val="2"/>
              <c:layout>
                <c:manualLayout>
                  <c:x val="-3.9527525131971379E-2"/>
                  <c:y val="1.17704003927792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2-4A70-9B47-75A22E5B9B30}"/>
                </c:ext>
              </c:extLst>
            </c:dLbl>
            <c:dLbl>
              <c:idx val="3"/>
              <c:layout>
                <c:manualLayout>
                  <c:x val="-0.10265291909895422"/>
                  <c:y val="-5.1031604659618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2-4A70-9B47-75A22E5B9B30}"/>
                </c:ext>
              </c:extLst>
            </c:dLbl>
            <c:dLbl>
              <c:idx val="5"/>
              <c:layout>
                <c:manualLayout>
                  <c:x val="-6.9806447212612949E-2"/>
                  <c:y val="-7.41214664182284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2-4A70-9B47-75A22E5B9B3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'HQS PH#11'!$I$59:$I$65</c:f>
              <c:strCache>
                <c:ptCount val="7"/>
                <c:pt idx="0">
                  <c:v>Savings</c:v>
                </c:pt>
                <c:pt idx="1">
                  <c:v>Fixed line cost</c:v>
                </c:pt>
                <c:pt idx="2">
                  <c:v>Energy</c:v>
                </c:pt>
                <c:pt idx="3">
                  <c:v>Variable line cost</c:v>
                </c:pt>
                <c:pt idx="4">
                  <c:v>Blue collar</c:v>
                </c:pt>
                <c:pt idx="5">
                  <c:v>Powder</c:v>
                </c:pt>
                <c:pt idx="6">
                  <c:v>Cost hanging point</c:v>
                </c:pt>
              </c:strCache>
            </c:strRef>
          </c:cat>
          <c:val>
            <c:numRef>
              <c:f>'HQS PH#11'!$S$59:$S$65</c:f>
              <c:numCache>
                <c:formatCode>0%</c:formatCode>
                <c:ptCount val="7"/>
                <c:pt idx="0">
                  <c:v>0.46800930568160037</c:v>
                </c:pt>
                <c:pt idx="1">
                  <c:v>5.372316302112097E-2</c:v>
                </c:pt>
                <c:pt idx="2">
                  <c:v>8.3569364699521517E-2</c:v>
                </c:pt>
                <c:pt idx="3" formatCode="0.0%">
                  <c:v>1.492310083920027E-2</c:v>
                </c:pt>
                <c:pt idx="4">
                  <c:v>0.17310796973472312</c:v>
                </c:pt>
                <c:pt idx="5">
                  <c:v>2.5704862689531566E-2</c:v>
                </c:pt>
                <c:pt idx="6">
                  <c:v>0.1809622333343022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22-4A70-9B47-75A22E5B9B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 coating cost vs hpt uses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'HQS PH#11'!$C$144</c:f>
              <c:strCache>
                <c:ptCount val="1"/>
                <c:pt idx="0">
                  <c:v>Hook (€)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'HQS PH#11'!$B$145:$B$151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'HQS PH#11'!$C$145:$C$151</c:f>
              <c:numCache>
                <c:formatCode>General</c:formatCode>
                <c:ptCount val="7"/>
                <c:pt idx="0">
                  <c:v>9.8000000000000004E-2</c:v>
                </c:pt>
                <c:pt idx="1">
                  <c:v>9.0999999999999998E-2</c:v>
                </c:pt>
                <c:pt idx="2">
                  <c:v>8.8999999999999996E-2</c:v>
                </c:pt>
                <c:pt idx="3">
                  <c:v>8.7999999999999995E-2</c:v>
                </c:pt>
                <c:pt idx="4">
                  <c:v>8.7499999999999994E-2</c:v>
                </c:pt>
                <c:pt idx="5">
                  <c:v>8.6999999999999994E-2</c:v>
                </c:pt>
                <c:pt idx="6">
                  <c:v>8.6900000000000005E-2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6C-4D03-84EE-490278E25286}"/>
            </c:ext>
          </c:extLst>
        </c:ser>
        <c:ser>
          <c:idx val="1"/>
          <c:order val="1"/>
          <c:tx>
            <c:strRef>
              <c:f>'HQS PH#11'!$D$144</c:f>
              <c:strCache>
                <c:ptCount val="1"/>
                <c:pt idx="0">
                  <c:v>HQS (€)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'HQS PH#11'!$B$145:$B$151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'HQS PH#11'!$D$145:$D$151</c:f>
              <c:numCache>
                <c:formatCode>General</c:formatCode>
                <c:ptCount val="7"/>
                <c:pt idx="0">
                  <c:v>8.6999999999999994E-2</c:v>
                </c:pt>
                <c:pt idx="1">
                  <c:v>5.6000000000000001E-2</c:v>
                </c:pt>
                <c:pt idx="2">
                  <c:v>4.5999999999999999E-2</c:v>
                </c:pt>
                <c:pt idx="3">
                  <c:v>4.1000000000000002E-2</c:v>
                </c:pt>
                <c:pt idx="4">
                  <c:v>3.6999999999999998E-2</c:v>
                </c:pt>
                <c:pt idx="5">
                  <c:v>3.5000000000000003E-2</c:v>
                </c:pt>
                <c:pt idx="6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6C-4D03-84EE-490278E252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726656"/>
        <c:axId val="120728576"/>
      </c:lineChart>
      <c:catAx>
        <c:axId val="12072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Number of hpt uses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728576"/>
        <c:crosses val="autoZero"/>
        <c:auto val="1"/>
        <c:lblAlgn val="ctr"/>
        <c:lblOffset val="100"/>
        <c:noMultiLvlLbl val="0"/>
      </c:catAx>
      <c:valAx>
        <c:axId val="1207285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Coating cost per pcs (€)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1207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4.xml"/><Relationship Id="rId7" Type="http://schemas.openxmlformats.org/officeDocument/2006/relationships/image" Target="../media/image6.jpg"/><Relationship Id="rId2" Type="http://schemas.openxmlformats.org/officeDocument/2006/relationships/image" Target="../media/image4.jpeg"/><Relationship Id="rId1" Type="http://schemas.openxmlformats.org/officeDocument/2006/relationships/chart" Target="../charts/chart3.xml"/><Relationship Id="rId6" Type="http://schemas.openxmlformats.org/officeDocument/2006/relationships/image" Target="../media/image5.jp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1609725</xdr:colOff>
      <xdr:row>6</xdr:row>
      <xdr:rowOff>2612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32D349D-F69F-4A36-B152-0E49BB422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61925"/>
          <a:ext cx="1609724" cy="997694"/>
        </a:xfrm>
        <a:prstGeom prst="rect">
          <a:avLst/>
        </a:prstGeom>
      </xdr:spPr>
    </xdr:pic>
    <xdr:clientData/>
  </xdr:twoCellAnchor>
  <xdr:twoCellAnchor>
    <xdr:from>
      <xdr:col>6</xdr:col>
      <xdr:colOff>309562</xdr:colOff>
      <xdr:row>7</xdr:row>
      <xdr:rowOff>4762</xdr:rowOff>
    </xdr:from>
    <xdr:to>
      <xdr:col>12</xdr:col>
      <xdr:colOff>85724</xdr:colOff>
      <xdr:row>34</xdr:row>
      <xdr:rowOff>66675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2A653C9-12AC-44EC-ADEC-CEE62330B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224118</xdr:colOff>
      <xdr:row>7</xdr:row>
      <xdr:rowOff>11206</xdr:rowOff>
    </xdr:from>
    <xdr:to>
      <xdr:col>17</xdr:col>
      <xdr:colOff>362117</xdr:colOff>
      <xdr:row>27</xdr:row>
      <xdr:rowOff>60671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00E9564-3088-41FD-B578-941F33E3A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71412" y="1299882"/>
          <a:ext cx="3152381" cy="3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1609725</xdr:colOff>
      <xdr:row>6</xdr:row>
      <xdr:rowOff>2612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427DE8C-0A89-4C06-8772-1151454D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61925"/>
          <a:ext cx="1609724" cy="997694"/>
        </a:xfrm>
        <a:prstGeom prst="rect">
          <a:avLst/>
        </a:prstGeom>
      </xdr:spPr>
    </xdr:pic>
    <xdr:clientData/>
  </xdr:twoCellAnchor>
  <xdr:twoCellAnchor>
    <xdr:from>
      <xdr:col>6</xdr:col>
      <xdr:colOff>309562</xdr:colOff>
      <xdr:row>7</xdr:row>
      <xdr:rowOff>4762</xdr:rowOff>
    </xdr:from>
    <xdr:to>
      <xdr:col>12</xdr:col>
      <xdr:colOff>85724</xdr:colOff>
      <xdr:row>37</xdr:row>
      <xdr:rowOff>66675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49131CE-B656-4BEE-96EA-CD3115BA5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605116</xdr:colOff>
      <xdr:row>7</xdr:row>
      <xdr:rowOff>0</xdr:rowOff>
    </xdr:from>
    <xdr:to>
      <xdr:col>17</xdr:col>
      <xdr:colOff>168087</xdr:colOff>
      <xdr:row>29</xdr:row>
      <xdr:rowOff>75050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A5A555E-6D6D-4651-B577-05D7C544D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14528" y="1288676"/>
          <a:ext cx="3182471" cy="3548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76200</xdr:rowOff>
    </xdr:from>
    <xdr:to>
      <xdr:col>1</xdr:col>
      <xdr:colOff>1638299</xdr:colOff>
      <xdr:row>6</xdr:row>
      <xdr:rowOff>73769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E0CDCA9-7197-4F36-98C4-4D87208D0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38125"/>
          <a:ext cx="1609724" cy="9976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30</xdr:row>
      <xdr:rowOff>228600</xdr:rowOff>
    </xdr:from>
    <xdr:to>
      <xdr:col>20</xdr:col>
      <xdr:colOff>0</xdr:colOff>
      <xdr:row>40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219075</xdr:colOff>
      <xdr:row>0</xdr:row>
      <xdr:rowOff>38100</xdr:rowOff>
    </xdr:from>
    <xdr:to>
      <xdr:col>3</xdr:col>
      <xdr:colOff>67236</xdr:colOff>
      <xdr:row>2</xdr:row>
      <xdr:rowOff>275979</xdr:rowOff>
    </xdr:to>
    <xdr:pic>
      <xdr:nvPicPr>
        <xdr:cNvPr id="3" name="Picture 49" descr="HangOn_SmartSolutionsCMY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1686486" cy="1018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33618</xdr:colOff>
      <xdr:row>23</xdr:row>
      <xdr:rowOff>148797</xdr:rowOff>
    </xdr:from>
    <xdr:to>
      <xdr:col>6</xdr:col>
      <xdr:colOff>78443</xdr:colOff>
      <xdr:row>38</xdr:row>
      <xdr:rowOff>190500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257736</xdr:colOff>
      <xdr:row>23</xdr:row>
      <xdr:rowOff>148797</xdr:rowOff>
    </xdr:from>
    <xdr:to>
      <xdr:col>12</xdr:col>
      <xdr:colOff>571501</xdr:colOff>
      <xdr:row>38</xdr:row>
      <xdr:rowOff>238125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134471</xdr:colOff>
      <xdr:row>23</xdr:row>
      <xdr:rowOff>126385</xdr:rowOff>
    </xdr:from>
    <xdr:to>
      <xdr:col>18</xdr:col>
      <xdr:colOff>728384</xdr:colOff>
      <xdr:row>38</xdr:row>
      <xdr:rowOff>309563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33616</xdr:colOff>
      <xdr:row>69</xdr:row>
      <xdr:rowOff>56029</xdr:rowOff>
    </xdr:from>
    <xdr:to>
      <xdr:col>2</xdr:col>
      <xdr:colOff>386041</xdr:colOff>
      <xdr:row>74</xdr:row>
      <xdr:rowOff>65714</xdr:rowOff>
    </xdr:to>
    <xdr:pic>
      <xdr:nvPicPr>
        <xdr:cNvPr id="7" name="Picture 49" descr="HangOn_SmartSolutionsCMYK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66" y="16086604"/>
          <a:ext cx="1685925" cy="1038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</xdr:colOff>
      <xdr:row>30</xdr:row>
      <xdr:rowOff>306162</xdr:rowOff>
    </xdr:from>
    <xdr:to>
      <xdr:col>21</xdr:col>
      <xdr:colOff>214314</xdr:colOff>
      <xdr:row>30</xdr:row>
      <xdr:rowOff>568100</xdr:rowOff>
    </xdr:to>
    <xdr:sp macro="" textlink="">
      <xdr:nvSpPr>
        <xdr:cNvPr id="8" name="V-for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7145002" y="7040337"/>
          <a:ext cx="214312" cy="261938"/>
        </a:xfrm>
        <a:prstGeom prst="chevron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3714</xdr:colOff>
      <xdr:row>32</xdr:row>
      <xdr:rowOff>63707</xdr:rowOff>
    </xdr:from>
    <xdr:to>
      <xdr:col>21</xdr:col>
      <xdr:colOff>224211</xdr:colOff>
      <xdr:row>33</xdr:row>
      <xdr:rowOff>13918</xdr:rowOff>
    </xdr:to>
    <xdr:sp macro="" textlink="">
      <xdr:nvSpPr>
        <xdr:cNvPr id="9" name="V-for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7148714" y="7626557"/>
          <a:ext cx="220497" cy="255011"/>
        </a:xfrm>
        <a:prstGeom prst="chevron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30929</xdr:colOff>
      <xdr:row>35</xdr:row>
      <xdr:rowOff>95250</xdr:rowOff>
    </xdr:from>
    <xdr:to>
      <xdr:col>21</xdr:col>
      <xdr:colOff>244930</xdr:colOff>
      <xdr:row>36</xdr:row>
      <xdr:rowOff>54740</xdr:rowOff>
    </xdr:to>
    <xdr:sp macro="" textlink="">
      <xdr:nvSpPr>
        <xdr:cNvPr id="10" name="V-for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75929" y="8953500"/>
          <a:ext cx="214001" cy="216665"/>
        </a:xfrm>
        <a:prstGeom prst="chevron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58143</xdr:colOff>
      <xdr:row>38</xdr:row>
      <xdr:rowOff>27215</xdr:rowOff>
    </xdr:from>
    <xdr:to>
      <xdr:col>21</xdr:col>
      <xdr:colOff>272144</xdr:colOff>
      <xdr:row>38</xdr:row>
      <xdr:rowOff>245241</xdr:rowOff>
    </xdr:to>
    <xdr:sp macro="" textlink="">
      <xdr:nvSpPr>
        <xdr:cNvPr id="11" name="V-for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7203143" y="9990365"/>
          <a:ext cx="214001" cy="218026"/>
        </a:xfrm>
        <a:prstGeom prst="chevron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790575</xdr:colOff>
      <xdr:row>6</xdr:row>
      <xdr:rowOff>304800</xdr:rowOff>
    </xdr:from>
    <xdr:to>
      <xdr:col>14</xdr:col>
      <xdr:colOff>781050</xdr:colOff>
      <xdr:row>19</xdr:row>
      <xdr:rowOff>209550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2209800"/>
          <a:ext cx="2247900" cy="3371850"/>
        </a:xfrm>
        <a:prstGeom prst="rect">
          <a:avLst/>
        </a:prstGeom>
      </xdr:spPr>
    </xdr:pic>
    <xdr:clientData/>
  </xdr:twoCellAnchor>
  <xdr:twoCellAnchor editAs="oneCell">
    <xdr:from>
      <xdr:col>1</xdr:col>
      <xdr:colOff>988199</xdr:colOff>
      <xdr:row>6</xdr:row>
      <xdr:rowOff>207150</xdr:rowOff>
    </xdr:from>
    <xdr:to>
      <xdr:col>4</xdr:col>
      <xdr:colOff>676274</xdr:colOff>
      <xdr:row>19</xdr:row>
      <xdr:rowOff>158363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49" y="2112150"/>
          <a:ext cx="2278875" cy="3418313"/>
        </a:xfrm>
        <a:prstGeom prst="rect">
          <a:avLst/>
        </a:prstGeom>
      </xdr:spPr>
    </xdr:pic>
    <xdr:clientData/>
  </xdr:twoCellAnchor>
  <xdr:twoCellAnchor>
    <xdr:from>
      <xdr:col>8</xdr:col>
      <xdr:colOff>558571</xdr:colOff>
      <xdr:row>145</xdr:row>
      <xdr:rowOff>68717</xdr:rowOff>
    </xdr:from>
    <xdr:to>
      <xdr:col>17</xdr:col>
      <xdr:colOff>830036</xdr:colOff>
      <xdr:row>180</xdr:row>
      <xdr:rowOff>136072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Hang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5B064"/>
      </a:accent1>
      <a:accent2>
        <a:srgbClr val="F7A600"/>
      </a:accent2>
      <a:accent3>
        <a:srgbClr val="009A3E"/>
      </a:accent3>
      <a:accent4>
        <a:srgbClr val="79276A"/>
      </a:accent4>
      <a:accent5>
        <a:srgbClr val="9A1915"/>
      </a:accent5>
      <a:accent6>
        <a:srgbClr val="FFDC0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6"/>
  <sheetViews>
    <sheetView zoomScale="85" zoomScaleNormal="85" workbookViewId="0">
      <selection activeCell="R35" sqref="R35"/>
    </sheetView>
  </sheetViews>
  <sheetFormatPr defaultRowHeight="12.75" x14ac:dyDescent="0.2"/>
  <cols>
    <col min="1" max="1" width="1.7109375" style="26" customWidth="1"/>
    <col min="2" max="2" width="41.28515625" style="29" customWidth="1"/>
    <col min="3" max="3" width="10.7109375" style="29" customWidth="1"/>
    <col min="4" max="4" width="10.5703125" style="29" customWidth="1"/>
    <col min="5" max="5" width="2.7109375" style="29" customWidth="1"/>
    <col min="6" max="6" width="5.5703125" style="29" customWidth="1"/>
    <col min="7" max="7" width="39.28515625" style="29" customWidth="1"/>
    <col min="8" max="8" width="12.7109375" style="29" customWidth="1"/>
    <col min="9" max="9" width="8.5703125" style="29" customWidth="1"/>
    <col min="10" max="10" width="2.140625" style="29" customWidth="1"/>
    <col min="11" max="13" width="9.140625" style="26"/>
    <col min="14" max="14" width="18" style="26" customWidth="1"/>
    <col min="15" max="49" width="9.140625" style="26"/>
    <col min="50" max="16384" width="9.140625" style="29"/>
  </cols>
  <sheetData>
    <row r="1" spans="2:10" s="26" customFormat="1" x14ac:dyDescent="0.2"/>
    <row r="2" spans="2:10" x14ac:dyDescent="0.2">
      <c r="B2" s="26"/>
      <c r="C2" s="26"/>
      <c r="D2" s="26"/>
      <c r="E2" s="26"/>
      <c r="F2" s="26"/>
      <c r="G2" s="26"/>
      <c r="H2" s="26"/>
      <c r="I2" s="26"/>
      <c r="J2" s="26"/>
    </row>
    <row r="3" spans="2:10" ht="27.75" x14ac:dyDescent="0.4">
      <c r="B3" s="26"/>
      <c r="C3" s="26"/>
      <c r="D3" s="26"/>
      <c r="E3" s="26"/>
      <c r="F3" s="26"/>
      <c r="G3" s="56" t="s">
        <v>178</v>
      </c>
      <c r="H3" s="26"/>
      <c r="I3" s="26"/>
      <c r="J3" s="26"/>
    </row>
    <row r="4" spans="2:10" x14ac:dyDescent="0.2">
      <c r="B4" s="26"/>
      <c r="C4" s="26"/>
      <c r="D4" s="26"/>
      <c r="E4" s="26"/>
      <c r="F4" s="26"/>
      <c r="G4" s="26"/>
      <c r="H4" s="26"/>
      <c r="I4" s="26"/>
      <c r="J4" s="26"/>
    </row>
    <row r="5" spans="2:10" x14ac:dyDescent="0.2">
      <c r="B5" s="26"/>
      <c r="C5" s="26"/>
      <c r="D5" s="26"/>
      <c r="E5" s="26"/>
      <c r="F5" s="26"/>
      <c r="G5" s="26"/>
      <c r="H5" s="26"/>
      <c r="I5" s="26"/>
      <c r="J5" s="26"/>
    </row>
    <row r="6" spans="2:10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26"/>
      <c r="C7" s="26"/>
      <c r="D7" s="26"/>
      <c r="E7" s="26"/>
      <c r="F7" s="26"/>
      <c r="G7" s="26"/>
      <c r="H7" s="26"/>
      <c r="I7" s="26"/>
      <c r="J7" s="26"/>
    </row>
    <row r="8" spans="2:10" x14ac:dyDescent="0.2">
      <c r="B8" s="9" t="s">
        <v>51</v>
      </c>
      <c r="C8" s="77">
        <v>2.5</v>
      </c>
      <c r="D8" s="43" t="s">
        <v>45</v>
      </c>
      <c r="E8" s="26"/>
      <c r="F8" s="65" t="s">
        <v>60</v>
      </c>
      <c r="G8" s="26"/>
      <c r="H8" s="26"/>
      <c r="I8" s="26"/>
      <c r="J8" s="26"/>
    </row>
    <row r="9" spans="2:10" x14ac:dyDescent="0.2">
      <c r="B9" s="10" t="s">
        <v>42</v>
      </c>
      <c r="C9" s="78">
        <v>170</v>
      </c>
      <c r="D9" s="11" t="s">
        <v>52</v>
      </c>
      <c r="E9" s="26"/>
      <c r="F9" s="66" t="s">
        <v>61</v>
      </c>
      <c r="G9" s="26"/>
      <c r="H9" s="26"/>
      <c r="I9" s="26"/>
      <c r="J9" s="26"/>
    </row>
    <row r="10" spans="2:10" x14ac:dyDescent="0.2">
      <c r="B10" s="10" t="s">
        <v>50</v>
      </c>
      <c r="C10" s="79">
        <f>C30</f>
        <v>214.73214285714283</v>
      </c>
      <c r="D10" s="11" t="s">
        <v>32</v>
      </c>
      <c r="E10" s="26"/>
      <c r="F10" s="67" t="s">
        <v>62</v>
      </c>
      <c r="G10" s="26"/>
      <c r="H10" s="26"/>
      <c r="I10" s="26"/>
      <c r="J10" s="26"/>
    </row>
    <row r="11" spans="2:10" x14ac:dyDescent="0.2">
      <c r="B11" s="10" t="s">
        <v>40</v>
      </c>
      <c r="C11" s="80">
        <f>C40</f>
        <v>1.925E-2</v>
      </c>
      <c r="D11" s="11" t="s">
        <v>4</v>
      </c>
      <c r="E11" s="26"/>
      <c r="F11" s="68" t="s">
        <v>74</v>
      </c>
      <c r="G11" s="26"/>
      <c r="H11" s="26"/>
      <c r="I11" s="26"/>
      <c r="J11" s="26"/>
    </row>
    <row r="12" spans="2:10" x14ac:dyDescent="0.2">
      <c r="B12" s="10" t="s">
        <v>56</v>
      </c>
      <c r="C12" s="78">
        <v>1.5E-3</v>
      </c>
      <c r="D12" s="11" t="s">
        <v>4</v>
      </c>
      <c r="E12" s="26"/>
      <c r="F12" s="69" t="s">
        <v>77</v>
      </c>
      <c r="G12" s="26"/>
      <c r="H12" s="26"/>
      <c r="I12" s="26"/>
      <c r="J12" s="26"/>
    </row>
    <row r="13" spans="2:10" x14ac:dyDescent="0.2">
      <c r="B13" s="12" t="s">
        <v>55</v>
      </c>
      <c r="C13" s="78">
        <v>8.9999999999999993E-3</v>
      </c>
      <c r="D13" s="13" t="s">
        <v>4</v>
      </c>
      <c r="E13" s="26"/>
      <c r="F13" s="70" t="s">
        <v>78</v>
      </c>
      <c r="G13" s="26"/>
      <c r="H13" s="26"/>
      <c r="I13" s="26"/>
      <c r="J13" s="26"/>
    </row>
    <row r="14" spans="2:10" ht="13.5" thickBot="1" x14ac:dyDescent="0.25">
      <c r="B14" s="30" t="s">
        <v>37</v>
      </c>
      <c r="C14" s="31">
        <f>C10/(C9*C8*60)+C11+C12+C13</f>
        <v>3.8170868347338939E-2</v>
      </c>
      <c r="D14" s="30" t="s">
        <v>4</v>
      </c>
      <c r="E14" s="26"/>
      <c r="F14" s="26"/>
      <c r="G14" s="26"/>
      <c r="H14" s="26"/>
      <c r="I14" s="26"/>
      <c r="J14" s="26"/>
    </row>
    <row r="15" spans="2:10" ht="13.5" thickTop="1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2:10" x14ac:dyDescent="0.2">
      <c r="B16" s="46" t="s">
        <v>86</v>
      </c>
      <c r="C16" s="50">
        <f>'Coating cost calc hook'!C14</f>
        <v>7.7577380952380953E-2</v>
      </c>
      <c r="D16" s="48" t="s">
        <v>4</v>
      </c>
      <c r="E16" s="26"/>
      <c r="F16" s="26"/>
      <c r="G16" s="26"/>
      <c r="H16" s="26"/>
      <c r="I16" s="26"/>
      <c r="J16" s="26"/>
    </row>
    <row r="17" spans="2:10" x14ac:dyDescent="0.2">
      <c r="B17" s="26"/>
      <c r="C17" s="26"/>
      <c r="D17" s="26"/>
      <c r="E17" s="26"/>
      <c r="F17" s="26"/>
      <c r="G17" s="26"/>
      <c r="H17" s="26"/>
      <c r="I17" s="26"/>
      <c r="J17" s="26"/>
    </row>
    <row r="18" spans="2:10" x14ac:dyDescent="0.2">
      <c r="B18" s="26"/>
      <c r="C18" s="26"/>
      <c r="D18" s="26"/>
      <c r="E18" s="26"/>
      <c r="F18" s="26"/>
      <c r="G18" s="26"/>
      <c r="H18" s="26"/>
      <c r="I18" s="26"/>
      <c r="J18" s="26"/>
    </row>
    <row r="19" spans="2:10" x14ac:dyDescent="0.2">
      <c r="B19" s="26"/>
      <c r="C19" s="26"/>
      <c r="D19" s="26"/>
      <c r="E19" s="26"/>
      <c r="F19" s="26"/>
      <c r="G19" s="26"/>
      <c r="H19" s="26"/>
      <c r="I19" s="26"/>
      <c r="J19" s="26"/>
    </row>
    <row r="20" spans="2:10" x14ac:dyDescent="0.2">
      <c r="B20" s="71" t="s">
        <v>83</v>
      </c>
      <c r="C20" s="62"/>
      <c r="D20" s="63"/>
      <c r="E20" s="26"/>
      <c r="F20" s="26"/>
      <c r="G20" s="26"/>
      <c r="H20" s="26"/>
      <c r="I20" s="26"/>
      <c r="J20" s="26"/>
    </row>
    <row r="21" spans="2:10" x14ac:dyDescent="0.2">
      <c r="B21" s="26"/>
      <c r="C21" s="26"/>
      <c r="D21" s="26"/>
      <c r="E21" s="26"/>
      <c r="F21" s="26"/>
      <c r="G21" s="26"/>
      <c r="H21" s="26"/>
      <c r="I21" s="26"/>
      <c r="J21" s="26"/>
    </row>
    <row r="22" spans="2:10" x14ac:dyDescent="0.2">
      <c r="B22" s="72" t="s">
        <v>84</v>
      </c>
      <c r="C22" s="64"/>
      <c r="D22" s="49"/>
      <c r="E22" s="26"/>
      <c r="F22" s="26"/>
      <c r="G22" s="26"/>
      <c r="H22" s="26"/>
      <c r="I22" s="26"/>
      <c r="J22" s="26"/>
    </row>
    <row r="23" spans="2:10" x14ac:dyDescent="0.2">
      <c r="B23" s="26"/>
      <c r="C23" s="26"/>
      <c r="D23" s="26"/>
      <c r="E23" s="26"/>
      <c r="F23" s="26"/>
      <c r="G23" s="26"/>
      <c r="H23" s="26"/>
      <c r="I23" s="26"/>
      <c r="J23" s="26"/>
    </row>
    <row r="24" spans="2:10" x14ac:dyDescent="0.2">
      <c r="B24" s="73" t="s">
        <v>79</v>
      </c>
      <c r="C24" s="44"/>
      <c r="D24" s="45"/>
      <c r="E24" s="26"/>
      <c r="F24" s="26"/>
      <c r="G24" s="26"/>
      <c r="H24" s="26"/>
      <c r="I24" s="26"/>
      <c r="J24" s="26"/>
    </row>
    <row r="25" spans="2:10" x14ac:dyDescent="0.2">
      <c r="B25" s="38" t="str">
        <f>'Detailed Coating line calc'!B46</f>
        <v>Blue collar cost</v>
      </c>
      <c r="C25" s="34">
        <f>'Detailed Coating line calc'!D46</f>
        <v>77.5</v>
      </c>
      <c r="D25" s="39" t="s">
        <v>32</v>
      </c>
      <c r="E25" s="26"/>
      <c r="F25" s="26"/>
      <c r="G25" s="26"/>
      <c r="H25" s="26"/>
      <c r="I25" s="26"/>
      <c r="J25" s="26"/>
    </row>
    <row r="26" spans="2:10" x14ac:dyDescent="0.2">
      <c r="B26" s="40" t="str">
        <f>'Detailed Coating line calc'!B47</f>
        <v>Fixed line cost</v>
      </c>
      <c r="C26" s="34">
        <f>'Detailed Coating line calc'!D47</f>
        <v>28.761904761904763</v>
      </c>
      <c r="D26" s="41" t="s">
        <v>32</v>
      </c>
      <c r="E26" s="26"/>
      <c r="F26" s="26"/>
      <c r="G26" s="26"/>
      <c r="H26" s="26"/>
      <c r="I26" s="26"/>
      <c r="J26" s="26"/>
    </row>
    <row r="27" spans="2:10" x14ac:dyDescent="0.2">
      <c r="B27" s="40" t="str">
        <f>'Detailed Coating line calc'!B48</f>
        <v>Energy</v>
      </c>
      <c r="C27" s="34">
        <f>'Detailed Coating line calc'!D48</f>
        <v>56</v>
      </c>
      <c r="D27" s="41" t="s">
        <v>32</v>
      </c>
      <c r="E27" s="26"/>
      <c r="F27" s="26"/>
      <c r="G27" s="26"/>
      <c r="H27" s="26"/>
      <c r="I27" s="26"/>
      <c r="J27" s="26"/>
    </row>
    <row r="28" spans="2:10" x14ac:dyDescent="0.2">
      <c r="B28" s="233" t="str">
        <f>'Detailed Coating line calc'!B49</f>
        <v>Variable line cost</v>
      </c>
      <c r="C28" s="34">
        <f>'Detailed Coating line calc'!D49</f>
        <v>9.5238095238095184</v>
      </c>
      <c r="D28" s="233" t="s">
        <v>32</v>
      </c>
      <c r="E28" s="26"/>
      <c r="F28" s="26"/>
      <c r="G28" s="26"/>
      <c r="H28" s="26"/>
      <c r="I28" s="26"/>
      <c r="J28" s="26"/>
    </row>
    <row r="29" spans="2:10" x14ac:dyDescent="0.2">
      <c r="B29" s="231" t="s">
        <v>87</v>
      </c>
      <c r="C29" s="240">
        <v>0.8</v>
      </c>
      <c r="D29" s="42"/>
      <c r="E29" s="26"/>
      <c r="F29" s="26"/>
      <c r="G29" s="26"/>
      <c r="H29" s="26"/>
      <c r="I29" s="26"/>
      <c r="J29" s="26"/>
    </row>
    <row r="30" spans="2:10" x14ac:dyDescent="0.2">
      <c r="B30" s="46" t="s">
        <v>57</v>
      </c>
      <c r="C30" s="47">
        <f>SUM(C25:C28)/C29</f>
        <v>214.73214285714283</v>
      </c>
      <c r="D30" s="48" t="s">
        <v>32</v>
      </c>
      <c r="E30" s="26"/>
      <c r="F30" s="26"/>
      <c r="G30" s="26"/>
      <c r="H30" s="26"/>
      <c r="I30" s="26"/>
      <c r="J30" s="26"/>
    </row>
    <row r="31" spans="2:10" x14ac:dyDescent="0.2">
      <c r="B31" s="59"/>
      <c r="C31" s="59"/>
      <c r="D31" s="59"/>
      <c r="E31" s="26"/>
      <c r="F31" s="26"/>
      <c r="G31" s="26"/>
      <c r="H31" s="26"/>
      <c r="I31" s="26"/>
      <c r="J31" s="26"/>
    </row>
    <row r="32" spans="2:10" x14ac:dyDescent="0.2">
      <c r="B32" s="74" t="s">
        <v>80</v>
      </c>
      <c r="C32" s="54"/>
      <c r="D32" s="55"/>
      <c r="E32" s="26"/>
      <c r="F32" s="26"/>
      <c r="G32" s="26"/>
      <c r="H32" s="26"/>
      <c r="I32" s="26"/>
      <c r="J32" s="26"/>
    </row>
    <row r="33" spans="2:10" x14ac:dyDescent="0.2">
      <c r="B33" s="234" t="s">
        <v>186</v>
      </c>
      <c r="C33" s="235">
        <f>0.77</f>
        <v>0.77</v>
      </c>
      <c r="D33" s="236" t="s">
        <v>4</v>
      </c>
      <c r="E33" s="26"/>
      <c r="F33" s="26"/>
      <c r="G33" s="26"/>
      <c r="H33" s="26"/>
      <c r="I33" s="26"/>
      <c r="J33" s="26"/>
    </row>
    <row r="34" spans="2:10" x14ac:dyDescent="0.2">
      <c r="B34" s="237" t="s">
        <v>185</v>
      </c>
      <c r="C34" s="241">
        <v>10</v>
      </c>
      <c r="D34" s="239"/>
      <c r="E34" s="26"/>
      <c r="F34" s="26"/>
      <c r="G34" s="26"/>
      <c r="H34" s="26"/>
      <c r="I34" s="26"/>
      <c r="J34" s="26"/>
    </row>
    <row r="35" spans="2:10" x14ac:dyDescent="0.2">
      <c r="B35" s="237" t="s">
        <v>180</v>
      </c>
      <c r="C35" s="238">
        <v>4</v>
      </c>
      <c r="D35" s="239"/>
      <c r="E35" s="26"/>
      <c r="F35" s="26"/>
      <c r="G35" s="26"/>
      <c r="H35" s="26"/>
      <c r="I35" s="26"/>
      <c r="J35" s="26"/>
    </row>
    <row r="36" spans="2:10" x14ac:dyDescent="0.2">
      <c r="B36" s="40" t="s">
        <v>181</v>
      </c>
      <c r="C36" s="36">
        <v>0</v>
      </c>
      <c r="D36" s="233" t="s">
        <v>4</v>
      </c>
      <c r="E36" s="26"/>
      <c r="F36" s="26"/>
      <c r="G36" s="26"/>
      <c r="H36" s="26"/>
      <c r="I36" s="26"/>
      <c r="J36" s="26"/>
    </row>
    <row r="37" spans="2:10" x14ac:dyDescent="0.2">
      <c r="B37" s="40" t="s">
        <v>182</v>
      </c>
      <c r="C37" s="36">
        <v>0</v>
      </c>
      <c r="D37" s="233" t="s">
        <v>4</v>
      </c>
      <c r="E37" s="26"/>
      <c r="F37" s="26"/>
      <c r="G37" s="26"/>
      <c r="H37" s="26"/>
      <c r="I37" s="26"/>
      <c r="J37" s="26"/>
    </row>
    <row r="38" spans="2:10" x14ac:dyDescent="0.2">
      <c r="B38" s="40" t="s">
        <v>183</v>
      </c>
      <c r="C38" s="36">
        <v>1</v>
      </c>
      <c r="D38" s="41"/>
      <c r="E38" s="26"/>
      <c r="F38" s="26"/>
      <c r="G38" s="26"/>
      <c r="H38" s="26"/>
      <c r="I38" s="26"/>
      <c r="J38" s="26"/>
    </row>
    <row r="39" spans="2:10" x14ac:dyDescent="0.2">
      <c r="B39" s="42" t="s">
        <v>184</v>
      </c>
      <c r="C39" s="36">
        <v>1</v>
      </c>
      <c r="D39" s="42"/>
      <c r="E39" s="26"/>
      <c r="F39" s="26"/>
      <c r="G39" s="26"/>
      <c r="H39" s="26"/>
      <c r="I39" s="26"/>
      <c r="J39" s="26"/>
    </row>
    <row r="40" spans="2:10" x14ac:dyDescent="0.2">
      <c r="B40" s="46" t="s">
        <v>43</v>
      </c>
      <c r="C40" s="50">
        <f>C33/(C34*C35)+(C36+C37)/(C38*C39)</f>
        <v>1.925E-2</v>
      </c>
      <c r="D40" s="48" t="s">
        <v>4</v>
      </c>
      <c r="E40" s="26"/>
      <c r="F40" s="26"/>
      <c r="G40" s="26"/>
      <c r="H40" s="26"/>
      <c r="I40" s="26"/>
      <c r="J40" s="26"/>
    </row>
    <row r="41" spans="2:10" x14ac:dyDescent="0.2">
      <c r="B41" s="59"/>
      <c r="C41" s="59"/>
      <c r="D41" s="59"/>
      <c r="E41" s="26"/>
      <c r="F41" s="26"/>
      <c r="G41" s="26"/>
      <c r="H41" s="26"/>
      <c r="I41" s="26"/>
      <c r="J41" s="26"/>
    </row>
    <row r="42" spans="2:10" x14ac:dyDescent="0.2">
      <c r="B42" s="75" t="s">
        <v>81</v>
      </c>
      <c r="C42" s="51"/>
      <c r="D42" s="52"/>
      <c r="E42" s="26"/>
      <c r="F42" s="28"/>
      <c r="G42" s="26"/>
      <c r="H42" s="26"/>
      <c r="I42" s="26"/>
      <c r="J42" s="26"/>
    </row>
    <row r="43" spans="2:10" x14ac:dyDescent="0.2">
      <c r="B43" s="38" t="s">
        <v>66</v>
      </c>
      <c r="C43" s="36">
        <f>(25*80)/1000000*1.35</f>
        <v>2.7000000000000001E-3</v>
      </c>
      <c r="D43" s="39" t="s">
        <v>68</v>
      </c>
      <c r="E43" s="26"/>
      <c r="F43" s="26"/>
      <c r="G43" s="26"/>
      <c r="H43" s="26"/>
      <c r="I43" s="26"/>
      <c r="J43" s="26"/>
    </row>
    <row r="44" spans="2:10" x14ac:dyDescent="0.2">
      <c r="B44" s="40" t="s">
        <v>72</v>
      </c>
      <c r="C44" s="36">
        <v>80</v>
      </c>
      <c r="D44" s="41" t="s">
        <v>70</v>
      </c>
      <c r="E44" s="26"/>
      <c r="F44" s="26"/>
      <c r="G44" s="26"/>
      <c r="H44" s="26"/>
      <c r="I44" s="26"/>
      <c r="J44" s="26"/>
    </row>
    <row r="45" spans="2:10" x14ac:dyDescent="0.2">
      <c r="B45" s="40" t="s">
        <v>73</v>
      </c>
      <c r="C45" s="37">
        <v>0.9</v>
      </c>
      <c r="D45" s="41"/>
      <c r="E45" s="26"/>
      <c r="F45" s="26"/>
      <c r="G45" s="26"/>
      <c r="H45" s="26"/>
      <c r="I45" s="26"/>
      <c r="J45" s="26"/>
    </row>
    <row r="46" spans="2:10" x14ac:dyDescent="0.2">
      <c r="B46" s="40" t="s">
        <v>69</v>
      </c>
      <c r="C46" s="36">
        <v>1.55</v>
      </c>
      <c r="D46" s="41"/>
      <c r="E46" s="26"/>
      <c r="F46" s="28"/>
      <c r="G46" s="84"/>
      <c r="H46" s="26"/>
      <c r="I46" s="26"/>
      <c r="J46" s="26"/>
    </row>
    <row r="47" spans="2:10" x14ac:dyDescent="0.2">
      <c r="B47" s="35" t="s">
        <v>67</v>
      </c>
      <c r="C47" s="36">
        <v>4</v>
      </c>
      <c r="D47" s="42" t="s">
        <v>35</v>
      </c>
      <c r="E47" s="26"/>
      <c r="F47" s="26"/>
      <c r="G47" s="84"/>
      <c r="H47" s="26"/>
      <c r="I47" s="26"/>
      <c r="J47" s="26"/>
    </row>
    <row r="48" spans="2:10" x14ac:dyDescent="0.2">
      <c r="B48" s="46" t="s">
        <v>34</v>
      </c>
      <c r="C48" s="53">
        <f>C47*C43*C46*C44/(1000*C45)</f>
        <v>1.4880000000000002E-3</v>
      </c>
      <c r="D48" s="48" t="s">
        <v>4</v>
      </c>
      <c r="E48" s="26"/>
      <c r="F48" s="28"/>
      <c r="G48" s="26"/>
      <c r="H48" s="26"/>
      <c r="I48" s="26"/>
      <c r="J48" s="26"/>
    </row>
    <row r="49" spans="2:10" x14ac:dyDescent="0.2">
      <c r="B49" s="59"/>
      <c r="C49" s="59"/>
      <c r="D49" s="59"/>
      <c r="E49" s="26"/>
      <c r="F49" s="26"/>
      <c r="G49" s="26"/>
      <c r="H49" s="26"/>
      <c r="I49" s="26"/>
      <c r="J49" s="26"/>
    </row>
    <row r="50" spans="2:10" x14ac:dyDescent="0.2">
      <c r="B50" s="76" t="s">
        <v>82</v>
      </c>
      <c r="C50" s="60"/>
      <c r="D50" s="61"/>
      <c r="E50" s="26"/>
      <c r="F50" s="26"/>
      <c r="G50" s="26"/>
      <c r="H50" s="26"/>
      <c r="I50" s="26"/>
      <c r="J50" s="26"/>
    </row>
    <row r="51" spans="2:10" x14ac:dyDescent="0.2">
      <c r="B51" s="38" t="s">
        <v>63</v>
      </c>
      <c r="C51" s="36">
        <v>19</v>
      </c>
      <c r="D51" s="39"/>
      <c r="E51" s="26"/>
      <c r="F51" s="26"/>
      <c r="G51" s="26"/>
      <c r="H51" s="26"/>
      <c r="I51" s="26"/>
      <c r="J51" s="26"/>
    </row>
    <row r="52" spans="2:10" x14ac:dyDescent="0.2">
      <c r="B52" s="40" t="s">
        <v>65</v>
      </c>
      <c r="C52" s="230">
        <f>(1.7*C53)/3600</f>
        <v>0.47222222222222221</v>
      </c>
      <c r="D52" s="41" t="s">
        <v>71</v>
      </c>
      <c r="E52" s="26"/>
      <c r="F52" s="26"/>
      <c r="G52" s="26"/>
      <c r="H52" s="26"/>
      <c r="I52" s="26"/>
      <c r="J52" s="26"/>
    </row>
    <row r="53" spans="2:10" x14ac:dyDescent="0.2">
      <c r="B53" s="35" t="s">
        <v>64</v>
      </c>
      <c r="C53" s="36">
        <v>1000</v>
      </c>
      <c r="D53" s="42"/>
      <c r="E53" s="26"/>
      <c r="F53" s="26"/>
      <c r="G53" s="26"/>
      <c r="H53" s="26"/>
      <c r="I53" s="26"/>
      <c r="J53" s="26"/>
    </row>
    <row r="54" spans="2:10" x14ac:dyDescent="0.2">
      <c r="B54" s="46"/>
      <c r="C54" s="50">
        <f>C51*C52/(C53)</f>
        <v>8.9722222222222217E-3</v>
      </c>
      <c r="D54" s="48" t="s">
        <v>4</v>
      </c>
      <c r="E54" s="26"/>
      <c r="F54" s="26"/>
      <c r="G54" s="26"/>
      <c r="H54" s="26"/>
      <c r="I54" s="26"/>
      <c r="J54" s="26"/>
    </row>
    <row r="55" spans="2:10" x14ac:dyDescent="0.2">
      <c r="B55" s="26"/>
      <c r="C55" s="26"/>
      <c r="D55" s="26"/>
      <c r="E55" s="26"/>
      <c r="F55" s="26"/>
      <c r="G55" s="26"/>
      <c r="H55" s="26"/>
      <c r="I55" s="26"/>
      <c r="J55" s="26"/>
    </row>
    <row r="56" spans="2:10" x14ac:dyDescent="0.2">
      <c r="B56" s="26"/>
      <c r="C56" s="26"/>
      <c r="D56" s="26"/>
      <c r="E56" s="26"/>
      <c r="F56" s="26"/>
      <c r="G56" s="26"/>
      <c r="H56" s="26"/>
      <c r="I56" s="26"/>
      <c r="J56" s="26"/>
    </row>
    <row r="57" spans="2:10" x14ac:dyDescent="0.2">
      <c r="B57" s="26"/>
      <c r="C57" s="26"/>
      <c r="D57" s="26"/>
      <c r="E57" s="26"/>
      <c r="F57" s="26"/>
      <c r="G57" s="26"/>
      <c r="H57" s="26"/>
      <c r="I57" s="26"/>
      <c r="J57" s="26"/>
    </row>
    <row r="58" spans="2:10" x14ac:dyDescent="0.2">
      <c r="B58" s="26"/>
      <c r="C58" s="26"/>
      <c r="D58" s="26"/>
      <c r="E58" s="26"/>
      <c r="F58" s="26"/>
      <c r="G58" s="26"/>
      <c r="H58" s="26"/>
      <c r="I58" s="26"/>
      <c r="J58" s="26"/>
    </row>
    <row r="59" spans="2:10" x14ac:dyDescent="0.2">
      <c r="B59" s="26"/>
      <c r="C59" s="26"/>
      <c r="D59" s="26"/>
      <c r="E59" s="26"/>
      <c r="F59" s="26"/>
      <c r="G59" s="26"/>
      <c r="H59" s="26"/>
      <c r="I59" s="26"/>
      <c r="J59" s="26"/>
    </row>
    <row r="60" spans="2:10" x14ac:dyDescent="0.2">
      <c r="B60" s="26"/>
      <c r="C60" s="26"/>
      <c r="D60" s="26"/>
      <c r="E60" s="26"/>
      <c r="F60" s="26"/>
      <c r="G60" s="26"/>
      <c r="H60" s="26"/>
      <c r="I60" s="26"/>
      <c r="J60" s="26"/>
    </row>
    <row r="61" spans="2:10" x14ac:dyDescent="0.2">
      <c r="B61" s="26"/>
      <c r="C61" s="26"/>
      <c r="D61" s="26"/>
      <c r="E61" s="26"/>
      <c r="F61" s="26"/>
      <c r="G61" s="26"/>
      <c r="H61" s="26"/>
      <c r="I61" s="26"/>
      <c r="J61" s="26"/>
    </row>
    <row r="62" spans="2:10" x14ac:dyDescent="0.2">
      <c r="B62" s="26"/>
      <c r="C62" s="26"/>
      <c r="D62" s="26"/>
      <c r="E62" s="26"/>
      <c r="F62" s="26"/>
      <c r="G62" s="26"/>
      <c r="H62" s="26"/>
      <c r="I62" s="26"/>
      <c r="J62" s="26"/>
    </row>
    <row r="63" spans="2:10" x14ac:dyDescent="0.2">
      <c r="B63" s="26"/>
      <c r="C63" s="26"/>
      <c r="D63" s="26"/>
      <c r="E63" s="26"/>
      <c r="F63" s="26"/>
      <c r="G63" s="26"/>
      <c r="H63" s="26"/>
      <c r="I63" s="26"/>
      <c r="J63" s="26"/>
    </row>
    <row r="64" spans="2:10" x14ac:dyDescent="0.2">
      <c r="B64" s="26"/>
      <c r="C64" s="26"/>
      <c r="D64" s="26"/>
      <c r="E64" s="26"/>
      <c r="F64" s="26"/>
      <c r="G64" s="26"/>
      <c r="H64" s="26"/>
      <c r="I64" s="26"/>
      <c r="J64" s="26"/>
    </row>
    <row r="65" spans="2:10" x14ac:dyDescent="0.2">
      <c r="B65" s="26"/>
      <c r="C65" s="26"/>
      <c r="D65" s="26"/>
      <c r="E65" s="26"/>
      <c r="F65" s="26"/>
      <c r="G65" s="26"/>
      <c r="H65" s="26"/>
      <c r="I65" s="26"/>
      <c r="J65" s="26"/>
    </row>
    <row r="66" spans="2:10" x14ac:dyDescent="0.2">
      <c r="B66" s="26"/>
      <c r="C66" s="26"/>
      <c r="D66" s="26"/>
      <c r="E66" s="26"/>
      <c r="F66" s="26"/>
      <c r="G66" s="26"/>
      <c r="H66" s="26"/>
      <c r="I66" s="26"/>
      <c r="J66" s="26"/>
    </row>
    <row r="67" spans="2:10" x14ac:dyDescent="0.2">
      <c r="B67" s="26"/>
      <c r="C67" s="26"/>
      <c r="D67" s="26"/>
      <c r="E67" s="26"/>
      <c r="F67" s="26"/>
      <c r="G67" s="26"/>
      <c r="H67" s="26"/>
      <c r="I67" s="26"/>
      <c r="J67" s="26"/>
    </row>
    <row r="68" spans="2:10" x14ac:dyDescent="0.2">
      <c r="B68" s="81" t="s">
        <v>85</v>
      </c>
      <c r="C68" s="26"/>
      <c r="D68" s="26"/>
      <c r="E68" s="26"/>
      <c r="F68" s="26"/>
      <c r="G68" s="26"/>
      <c r="H68" s="26"/>
      <c r="I68" s="26"/>
      <c r="J68" s="26"/>
    </row>
    <row r="69" spans="2:10" x14ac:dyDescent="0.2">
      <c r="B69" s="26"/>
      <c r="C69" s="26"/>
      <c r="D69" s="26"/>
      <c r="E69" s="26"/>
      <c r="F69" s="26"/>
      <c r="G69" s="26"/>
      <c r="H69" s="26"/>
      <c r="I69" s="26"/>
      <c r="J69" s="26"/>
    </row>
    <row r="70" spans="2:10" x14ac:dyDescent="0.2">
      <c r="B70" s="26" t="s">
        <v>5</v>
      </c>
      <c r="C70" s="27">
        <f>C26/($C$9*$C$8*60*C29)</f>
        <v>1.4098972922502334E-3</v>
      </c>
      <c r="D70" s="32">
        <f t="shared" ref="D70:D76" si="0">C70/$C$77</f>
        <v>1.8174076966012368E-2</v>
      </c>
      <c r="E70" s="26"/>
      <c r="F70" s="26"/>
      <c r="G70" s="26"/>
      <c r="H70" s="26"/>
      <c r="I70" s="26"/>
      <c r="J70" s="26"/>
    </row>
    <row r="71" spans="2:10" x14ac:dyDescent="0.2">
      <c r="B71" s="26" t="s">
        <v>2</v>
      </c>
      <c r="C71" s="27">
        <f>C27/($C$9*$C$8*60*C29)</f>
        <v>2.7450980392156863E-3</v>
      </c>
      <c r="D71" s="32">
        <f t="shared" si="0"/>
        <v>3.5385288927202892E-2</v>
      </c>
      <c r="E71" s="26"/>
      <c r="F71" s="26"/>
      <c r="G71" s="26"/>
      <c r="H71" s="26"/>
      <c r="I71" s="26"/>
      <c r="J71" s="26"/>
    </row>
    <row r="72" spans="2:10" x14ac:dyDescent="0.2">
      <c r="B72" s="26" t="s">
        <v>6</v>
      </c>
      <c r="C72" s="27">
        <f>C28/($C$9*$C$8*60*C29)</f>
        <v>4.6685340802987837E-4</v>
      </c>
      <c r="D72" s="32">
        <f t="shared" si="0"/>
        <v>6.0179062801365433E-3</v>
      </c>
      <c r="E72" s="26"/>
      <c r="F72" s="26"/>
      <c r="G72" s="26"/>
      <c r="H72" s="26"/>
      <c r="I72" s="26"/>
      <c r="J72" s="26"/>
    </row>
    <row r="73" spans="2:10" x14ac:dyDescent="0.2">
      <c r="B73" s="26" t="s">
        <v>3</v>
      </c>
      <c r="C73" s="27">
        <f>C25/($C$9*$C$8*60*C29)+C13</f>
        <v>1.2799019607843137E-2</v>
      </c>
      <c r="D73" s="32">
        <f t="shared" si="0"/>
        <v>0.16498390962308349</v>
      </c>
      <c r="E73" s="26"/>
      <c r="F73" s="26"/>
      <c r="G73" s="26"/>
      <c r="H73" s="26"/>
      <c r="I73" s="26"/>
      <c r="J73" s="26"/>
    </row>
    <row r="74" spans="2:10" x14ac:dyDescent="0.2">
      <c r="B74" s="26" t="s">
        <v>54</v>
      </c>
      <c r="C74" s="27">
        <f>C12</f>
        <v>1.5E-3</v>
      </c>
      <c r="D74" s="32">
        <f t="shared" si="0"/>
        <v>1.9335532878078723E-2</v>
      </c>
      <c r="E74" s="26"/>
      <c r="F74" s="26"/>
      <c r="G74" s="26"/>
      <c r="H74" s="26"/>
      <c r="I74" s="26"/>
      <c r="J74" s="26"/>
    </row>
    <row r="75" spans="2:10" x14ac:dyDescent="0.2">
      <c r="B75" s="26" t="s">
        <v>43</v>
      </c>
      <c r="C75" s="27">
        <f>C11</f>
        <v>1.925E-2</v>
      </c>
      <c r="D75" s="32">
        <f t="shared" si="0"/>
        <v>0.24813933860201026</v>
      </c>
      <c r="E75" s="26"/>
      <c r="F75" s="26"/>
      <c r="G75" s="26"/>
      <c r="H75" s="26"/>
      <c r="I75" s="26"/>
      <c r="J75" s="26"/>
    </row>
    <row r="76" spans="2:10" x14ac:dyDescent="0.2">
      <c r="B76" s="26" t="s">
        <v>58</v>
      </c>
      <c r="C76" s="27">
        <f>C77-SUM(C70:C75)</f>
        <v>3.9406512605042021E-2</v>
      </c>
      <c r="D76" s="32">
        <f t="shared" si="0"/>
        <v>0.50796394672347578</v>
      </c>
      <c r="E76" s="26"/>
      <c r="F76" s="26"/>
      <c r="G76" s="26"/>
      <c r="H76" s="26"/>
      <c r="I76" s="26"/>
      <c r="J76" s="26"/>
    </row>
    <row r="77" spans="2:10" x14ac:dyDescent="0.2">
      <c r="B77" s="26" t="s">
        <v>59</v>
      </c>
      <c r="C77" s="82">
        <f>C16</f>
        <v>7.7577380952380953E-2</v>
      </c>
      <c r="D77" s="33">
        <f>SUM(D70:D76)</f>
        <v>1</v>
      </c>
      <c r="E77" s="26"/>
      <c r="F77" s="26"/>
      <c r="G77" s="26"/>
      <c r="H77" s="26"/>
      <c r="I77" s="26"/>
      <c r="J77" s="26"/>
    </row>
    <row r="78" spans="2:10" x14ac:dyDescent="0.2">
      <c r="B78" s="26"/>
      <c r="C78" s="26"/>
      <c r="D78" s="26"/>
      <c r="E78" s="26"/>
      <c r="F78" s="26"/>
      <c r="G78" s="26"/>
      <c r="H78" s="26"/>
      <c r="I78" s="26"/>
      <c r="J78" s="26"/>
    </row>
    <row r="79" spans="2:10" x14ac:dyDescent="0.2">
      <c r="B79" s="26"/>
      <c r="C79" s="26"/>
      <c r="D79" s="26"/>
      <c r="E79" s="26"/>
      <c r="F79" s="26"/>
      <c r="G79" s="26"/>
      <c r="H79" s="26"/>
      <c r="I79" s="26"/>
      <c r="J79" s="26"/>
    </row>
    <row r="80" spans="2:10" x14ac:dyDescent="0.2">
      <c r="B80" s="26"/>
      <c r="C80" s="26"/>
      <c r="D80" s="26"/>
      <c r="E80" s="26"/>
      <c r="F80" s="26"/>
      <c r="G80" s="26"/>
      <c r="H80" s="26"/>
      <c r="I80" s="26"/>
      <c r="J80" s="26"/>
    </row>
    <row r="81" spans="2:10" x14ac:dyDescent="0.2">
      <c r="B81" s="26"/>
      <c r="C81" s="26"/>
      <c r="D81" s="26"/>
      <c r="E81" s="26"/>
      <c r="F81" s="26"/>
      <c r="G81" s="26"/>
      <c r="H81" s="26"/>
      <c r="I81" s="26"/>
      <c r="J81" s="26"/>
    </row>
    <row r="82" spans="2:10" x14ac:dyDescent="0.2">
      <c r="B82" s="26"/>
      <c r="C82" s="26"/>
      <c r="D82" s="26"/>
      <c r="E82" s="26"/>
      <c r="F82" s="26"/>
      <c r="G82" s="26"/>
      <c r="H82" s="26"/>
      <c r="I82" s="26"/>
      <c r="J82" s="26"/>
    </row>
    <row r="83" spans="2:10" x14ac:dyDescent="0.2">
      <c r="B83" s="26"/>
      <c r="C83" s="26"/>
      <c r="D83" s="26"/>
      <c r="E83" s="26"/>
      <c r="F83" s="26"/>
      <c r="G83" s="26"/>
      <c r="H83" s="26"/>
      <c r="I83" s="26"/>
      <c r="J83" s="26"/>
    </row>
    <row r="84" spans="2:10" x14ac:dyDescent="0.2">
      <c r="B84" s="26"/>
      <c r="C84" s="26"/>
      <c r="D84" s="26"/>
      <c r="E84" s="26"/>
      <c r="F84" s="26"/>
      <c r="G84" s="26"/>
      <c r="H84" s="26"/>
      <c r="I84" s="26"/>
      <c r="J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  <c r="J85" s="26"/>
    </row>
    <row r="86" spans="2:10" x14ac:dyDescent="0.2">
      <c r="B86" s="26"/>
      <c r="C86" s="26"/>
      <c r="D86" s="26"/>
      <c r="E86" s="26"/>
      <c r="F86" s="26"/>
      <c r="G86" s="26"/>
      <c r="H86" s="26"/>
      <c r="I86" s="26"/>
      <c r="J86" s="26"/>
    </row>
    <row r="87" spans="2:10" x14ac:dyDescent="0.2">
      <c r="B87" s="26"/>
      <c r="C87" s="26"/>
      <c r="D87" s="26"/>
      <c r="E87" s="26"/>
      <c r="F87" s="26"/>
      <c r="G87" s="26"/>
      <c r="H87" s="26"/>
      <c r="I87" s="26"/>
      <c r="J87" s="26"/>
    </row>
    <row r="88" spans="2:10" x14ac:dyDescent="0.2">
      <c r="B88" s="26"/>
      <c r="C88" s="26"/>
      <c r="D88" s="26"/>
      <c r="E88" s="26"/>
      <c r="F88" s="26"/>
      <c r="G88" s="26"/>
      <c r="H88" s="26"/>
      <c r="I88" s="26"/>
      <c r="J88" s="26"/>
    </row>
    <row r="89" spans="2:10" x14ac:dyDescent="0.2">
      <c r="B89" s="26"/>
      <c r="C89" s="26"/>
      <c r="D89" s="26"/>
      <c r="E89" s="26"/>
      <c r="F89" s="26"/>
      <c r="G89" s="26"/>
      <c r="H89" s="26"/>
      <c r="I89" s="26"/>
      <c r="J89" s="26"/>
    </row>
    <row r="90" spans="2:10" x14ac:dyDescent="0.2">
      <c r="B90" s="26"/>
      <c r="C90" s="26"/>
      <c r="D90" s="26"/>
      <c r="E90" s="26"/>
      <c r="F90" s="26"/>
      <c r="G90" s="26"/>
      <c r="H90" s="26"/>
      <c r="I90" s="26"/>
      <c r="J90" s="26"/>
    </row>
    <row r="91" spans="2:10" x14ac:dyDescent="0.2">
      <c r="B91" s="26"/>
      <c r="C91" s="26"/>
      <c r="D91" s="26"/>
      <c r="E91" s="26"/>
      <c r="F91" s="26"/>
      <c r="G91" s="26"/>
      <c r="H91" s="26"/>
      <c r="I91" s="26"/>
      <c r="J91" s="26"/>
    </row>
    <row r="92" spans="2:10" x14ac:dyDescent="0.2">
      <c r="B92" s="26"/>
      <c r="C92" s="26"/>
      <c r="D92" s="26"/>
      <c r="E92" s="26"/>
      <c r="F92" s="26"/>
      <c r="G92" s="26"/>
      <c r="H92" s="26"/>
      <c r="I92" s="26"/>
      <c r="J92" s="26"/>
    </row>
    <row r="93" spans="2:10" x14ac:dyDescent="0.2">
      <c r="B93" s="26"/>
      <c r="C93" s="26"/>
      <c r="D93" s="26"/>
      <c r="E93" s="26"/>
      <c r="F93" s="26"/>
      <c r="G93" s="26"/>
      <c r="H93" s="26"/>
      <c r="I93" s="26"/>
      <c r="J93" s="26"/>
    </row>
    <row r="94" spans="2:10" x14ac:dyDescent="0.2">
      <c r="B94" s="26"/>
      <c r="C94" s="26"/>
      <c r="D94" s="26"/>
      <c r="E94" s="26"/>
      <c r="F94" s="26"/>
      <c r="G94" s="26"/>
      <c r="H94" s="26"/>
      <c r="I94" s="26"/>
      <c r="J94" s="26"/>
    </row>
    <row r="95" spans="2:10" x14ac:dyDescent="0.2">
      <c r="B95" s="26"/>
      <c r="C95" s="26"/>
      <c r="D95" s="26"/>
      <c r="E95" s="26"/>
      <c r="F95" s="26"/>
      <c r="G95" s="26"/>
      <c r="H95" s="26"/>
      <c r="I95" s="26"/>
      <c r="J95" s="26"/>
    </row>
    <row r="96" spans="2:10" x14ac:dyDescent="0.2">
      <c r="B96" s="26"/>
      <c r="C96" s="26"/>
      <c r="D96" s="26"/>
      <c r="E96" s="26"/>
      <c r="F96" s="26"/>
      <c r="G96" s="26"/>
      <c r="H96" s="26"/>
      <c r="I96" s="26"/>
      <c r="J96" s="26"/>
    </row>
    <row r="97" spans="2:10" x14ac:dyDescent="0.2">
      <c r="B97" s="26"/>
      <c r="C97" s="26"/>
      <c r="D97" s="26"/>
      <c r="E97" s="26"/>
      <c r="F97" s="26"/>
      <c r="G97" s="26"/>
      <c r="H97" s="26"/>
      <c r="I97" s="26"/>
      <c r="J97" s="26"/>
    </row>
    <row r="98" spans="2:10" x14ac:dyDescent="0.2">
      <c r="B98" s="26"/>
      <c r="C98" s="26"/>
      <c r="D98" s="26"/>
      <c r="E98" s="26"/>
      <c r="F98" s="26"/>
      <c r="G98" s="26"/>
      <c r="H98" s="26"/>
      <c r="I98" s="26"/>
      <c r="J98" s="26"/>
    </row>
    <row r="99" spans="2:10" x14ac:dyDescent="0.2">
      <c r="B99" s="26"/>
      <c r="C99" s="26"/>
      <c r="D99" s="26"/>
      <c r="E99" s="26"/>
      <c r="F99" s="26"/>
      <c r="G99" s="26"/>
      <c r="H99" s="26"/>
      <c r="I99" s="26"/>
      <c r="J99" s="26"/>
    </row>
    <row r="100" spans="2:10" x14ac:dyDescent="0.2"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2:10" x14ac:dyDescent="0.2"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2:10" x14ac:dyDescent="0.2"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2:10" x14ac:dyDescent="0.2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2:10" x14ac:dyDescent="0.2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2:10" x14ac:dyDescent="0.2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2:10" x14ac:dyDescent="0.2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2:10" x14ac:dyDescent="0.2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2:10" x14ac:dyDescent="0.2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2:10" x14ac:dyDescent="0.2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2:10" x14ac:dyDescent="0.2"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2:10" x14ac:dyDescent="0.2"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2:10" x14ac:dyDescent="0.2"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2:10" x14ac:dyDescent="0.2"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2:10" x14ac:dyDescent="0.2"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2:10" x14ac:dyDescent="0.2"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2:10" x14ac:dyDescent="0.2"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2:10" x14ac:dyDescent="0.2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"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2:10" x14ac:dyDescent="0.2"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2:10" x14ac:dyDescent="0.2"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2:10" x14ac:dyDescent="0.2"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2:10" x14ac:dyDescent="0.2"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2:10" x14ac:dyDescent="0.2"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2:10" x14ac:dyDescent="0.2"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2:10" x14ac:dyDescent="0.2"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2:10" x14ac:dyDescent="0.2"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2:10" x14ac:dyDescent="0.2"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2:10" x14ac:dyDescent="0.2"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2:10" x14ac:dyDescent="0.2"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2:10" x14ac:dyDescent="0.2"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2:10" x14ac:dyDescent="0.2"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2:10" x14ac:dyDescent="0.2"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2:10" x14ac:dyDescent="0.2"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2:10" x14ac:dyDescent="0.2"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2:10" x14ac:dyDescent="0.2">
      <c r="B136" s="26"/>
      <c r="C136" s="26"/>
      <c r="D136" s="26"/>
      <c r="E136" s="26"/>
      <c r="F136" s="26"/>
      <c r="G136" s="26"/>
      <c r="H136" s="26"/>
      <c r="I136" s="26"/>
      <c r="J136" s="26"/>
    </row>
    <row r="137" spans="2:10" x14ac:dyDescent="0.2">
      <c r="B137" s="26"/>
      <c r="C137" s="26"/>
      <c r="D137" s="26"/>
      <c r="E137" s="26"/>
      <c r="F137" s="26"/>
      <c r="G137" s="26"/>
      <c r="H137" s="26"/>
      <c r="I137" s="26"/>
      <c r="J137" s="26"/>
    </row>
    <row r="138" spans="2:10" x14ac:dyDescent="0.2">
      <c r="B138" s="26"/>
      <c r="C138" s="26"/>
      <c r="D138" s="26"/>
      <c r="E138" s="26"/>
      <c r="F138" s="26"/>
      <c r="G138" s="26"/>
      <c r="H138" s="26"/>
      <c r="I138" s="26"/>
      <c r="J138" s="26"/>
    </row>
    <row r="139" spans="2:10" x14ac:dyDescent="0.2"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2:10" x14ac:dyDescent="0.2"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2:10" x14ac:dyDescent="0.2"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2:10" x14ac:dyDescent="0.2">
      <c r="B142" s="26"/>
      <c r="C142" s="26"/>
      <c r="D142" s="26"/>
      <c r="E142" s="26"/>
      <c r="F142" s="26"/>
      <c r="G142" s="26"/>
      <c r="H142" s="26"/>
      <c r="I142" s="26"/>
      <c r="J142" s="26"/>
    </row>
    <row r="143" spans="2:10" x14ac:dyDescent="0.2">
      <c r="B143" s="26"/>
      <c r="C143" s="26"/>
      <c r="D143" s="26"/>
      <c r="E143" s="26"/>
      <c r="F143" s="26"/>
      <c r="G143" s="26"/>
      <c r="H143" s="26"/>
      <c r="I143" s="26"/>
      <c r="J143" s="26"/>
    </row>
    <row r="144" spans="2:10" x14ac:dyDescent="0.2"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2:10" x14ac:dyDescent="0.2">
      <c r="B145" s="26"/>
      <c r="C145" s="26"/>
      <c r="D145" s="26"/>
      <c r="E145" s="26"/>
      <c r="F145" s="26"/>
      <c r="G145" s="26"/>
      <c r="H145" s="26"/>
      <c r="I145" s="26"/>
      <c r="J145" s="26"/>
    </row>
    <row r="146" spans="2:10" x14ac:dyDescent="0.2">
      <c r="B146" s="26"/>
      <c r="C146" s="26"/>
      <c r="D146" s="26"/>
      <c r="E146" s="26"/>
      <c r="F146" s="26"/>
      <c r="G146" s="26"/>
      <c r="H146" s="26"/>
      <c r="I146" s="26"/>
      <c r="J146" s="26"/>
    </row>
    <row r="147" spans="2:10" x14ac:dyDescent="0.2"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2:10" x14ac:dyDescent="0.2"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2:10" x14ac:dyDescent="0.2"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2:10" x14ac:dyDescent="0.2"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2:10" x14ac:dyDescent="0.2"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2:10" x14ac:dyDescent="0.2"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2:10" x14ac:dyDescent="0.2"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2:10" x14ac:dyDescent="0.2"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2:10" x14ac:dyDescent="0.2"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2:10" x14ac:dyDescent="0.2"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2:10" x14ac:dyDescent="0.2"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2:10" x14ac:dyDescent="0.2"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2:10" x14ac:dyDescent="0.2"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2:10" x14ac:dyDescent="0.2"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2:10" x14ac:dyDescent="0.2"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2:10" x14ac:dyDescent="0.2"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2:10" x14ac:dyDescent="0.2"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2:10" x14ac:dyDescent="0.2"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2:10" x14ac:dyDescent="0.2"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2:10" x14ac:dyDescent="0.2"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2:10" x14ac:dyDescent="0.2"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2:10" x14ac:dyDescent="0.2"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2:10" x14ac:dyDescent="0.2"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2:10" x14ac:dyDescent="0.2"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2:10" x14ac:dyDescent="0.2"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2:10" x14ac:dyDescent="0.2"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2:10" x14ac:dyDescent="0.2"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2:10" x14ac:dyDescent="0.2"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2:10" x14ac:dyDescent="0.2"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2:10" x14ac:dyDescent="0.2"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2:10" x14ac:dyDescent="0.2"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2:10" x14ac:dyDescent="0.2"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2:10" x14ac:dyDescent="0.2"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2:10" x14ac:dyDescent="0.2"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2:10" x14ac:dyDescent="0.2"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2:10" x14ac:dyDescent="0.2"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2:10" x14ac:dyDescent="0.2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 x14ac:dyDescent="0.2">
      <c r="B186" s="26"/>
      <c r="C186" s="26"/>
      <c r="D186" s="26"/>
      <c r="E186" s="26"/>
      <c r="F186" s="26"/>
      <c r="G186" s="26"/>
      <c r="H186" s="26"/>
      <c r="I186" s="26"/>
      <c r="J186" s="26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86"/>
  <sheetViews>
    <sheetView tabSelected="1" zoomScale="85" zoomScaleNormal="85" workbookViewId="0">
      <selection activeCell="V33" sqref="V33"/>
    </sheetView>
  </sheetViews>
  <sheetFormatPr defaultRowHeight="12.75" x14ac:dyDescent="0.2"/>
  <cols>
    <col min="1" max="1" width="1.7109375" style="26" customWidth="1"/>
    <col min="2" max="2" width="42.28515625" style="29" customWidth="1"/>
    <col min="3" max="3" width="10.7109375" style="29" customWidth="1"/>
    <col min="4" max="4" width="10.5703125" style="29" customWidth="1"/>
    <col min="5" max="5" width="2.7109375" style="29" customWidth="1"/>
    <col min="6" max="6" width="5.5703125" style="29" customWidth="1"/>
    <col min="7" max="7" width="39.28515625" style="29" customWidth="1"/>
    <col min="8" max="8" width="12.7109375" style="29" customWidth="1"/>
    <col min="9" max="9" width="8.5703125" style="29" customWidth="1"/>
    <col min="10" max="10" width="2.140625" style="29" customWidth="1"/>
    <col min="11" max="13" width="9.140625" style="26"/>
    <col min="14" max="14" width="18" style="26" customWidth="1"/>
    <col min="15" max="49" width="9.140625" style="26"/>
    <col min="50" max="16384" width="9.140625" style="29"/>
  </cols>
  <sheetData>
    <row r="1" spans="2:10" s="26" customFormat="1" x14ac:dyDescent="0.2"/>
    <row r="2" spans="2:10" x14ac:dyDescent="0.2">
      <c r="B2" s="26"/>
      <c r="C2" s="26"/>
      <c r="D2" s="26"/>
      <c r="E2" s="26"/>
      <c r="F2" s="26"/>
      <c r="G2" s="26"/>
      <c r="H2" s="26"/>
      <c r="I2" s="26"/>
      <c r="J2" s="26"/>
    </row>
    <row r="3" spans="2:10" ht="27.75" x14ac:dyDescent="0.4">
      <c r="B3" s="26"/>
      <c r="C3" s="26"/>
      <c r="D3" s="26"/>
      <c r="E3" s="26"/>
      <c r="F3" s="26"/>
      <c r="G3" s="56" t="s">
        <v>179</v>
      </c>
      <c r="H3" s="26"/>
      <c r="I3" s="26"/>
      <c r="J3" s="26"/>
    </row>
    <row r="4" spans="2:10" x14ac:dyDescent="0.2">
      <c r="B4" s="26"/>
      <c r="C4" s="26"/>
      <c r="D4" s="26"/>
      <c r="E4" s="26"/>
      <c r="F4" s="26"/>
      <c r="G4" s="26"/>
      <c r="H4" s="26"/>
      <c r="I4" s="26"/>
      <c r="J4" s="26"/>
    </row>
    <row r="5" spans="2:10" x14ac:dyDescent="0.2">
      <c r="B5" s="26"/>
      <c r="C5" s="26"/>
      <c r="D5" s="26"/>
      <c r="E5" s="26"/>
      <c r="F5" s="26"/>
      <c r="G5" s="26"/>
      <c r="H5" s="26"/>
      <c r="I5" s="26"/>
      <c r="J5" s="26"/>
    </row>
    <row r="6" spans="2:10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26"/>
      <c r="C7" s="26"/>
      <c r="D7" s="26"/>
      <c r="E7" s="26"/>
      <c r="F7" s="26"/>
      <c r="G7" s="26"/>
      <c r="H7" s="26"/>
      <c r="I7" s="26"/>
      <c r="J7" s="26"/>
    </row>
    <row r="8" spans="2:10" x14ac:dyDescent="0.2">
      <c r="B8" s="9" t="s">
        <v>51</v>
      </c>
      <c r="C8" s="77">
        <f>3000/(55*60)</f>
        <v>0.90909090909090906</v>
      </c>
      <c r="D8" s="43" t="s">
        <v>45</v>
      </c>
      <c r="E8" s="26"/>
      <c r="F8" s="65" t="s">
        <v>60</v>
      </c>
      <c r="G8" s="26"/>
      <c r="H8" s="26"/>
      <c r="I8" s="26"/>
      <c r="J8" s="26"/>
    </row>
    <row r="9" spans="2:10" x14ac:dyDescent="0.2">
      <c r="B9" s="10" t="s">
        <v>42</v>
      </c>
      <c r="C9" s="78">
        <v>55</v>
      </c>
      <c r="D9" s="11" t="s">
        <v>52</v>
      </c>
      <c r="E9" s="26"/>
      <c r="F9" s="66" t="s">
        <v>61</v>
      </c>
      <c r="G9" s="26"/>
      <c r="H9" s="26"/>
      <c r="I9" s="26"/>
      <c r="J9" s="26"/>
    </row>
    <row r="10" spans="2:10" x14ac:dyDescent="0.2">
      <c r="B10" s="10" t="s">
        <v>50</v>
      </c>
      <c r="C10" s="79">
        <f>C28</f>
        <v>214.73214285714283</v>
      </c>
      <c r="D10" s="11" t="s">
        <v>32</v>
      </c>
      <c r="E10" s="26"/>
      <c r="F10" s="67" t="s">
        <v>62</v>
      </c>
      <c r="G10" s="26"/>
      <c r="H10" s="26"/>
      <c r="I10" s="26"/>
      <c r="J10" s="26"/>
    </row>
    <row r="11" spans="2:10" x14ac:dyDescent="0.2">
      <c r="B11" s="10" t="s">
        <v>40</v>
      </c>
      <c r="C11" s="80">
        <v>5.0000000000000001E-3</v>
      </c>
      <c r="D11" s="11" t="s">
        <v>4</v>
      </c>
      <c r="E11" s="26"/>
      <c r="F11" s="68" t="s">
        <v>74</v>
      </c>
      <c r="G11" s="26"/>
      <c r="H11" s="26"/>
      <c r="I11" s="26"/>
      <c r="J11" s="26"/>
    </row>
    <row r="12" spans="2:10" x14ac:dyDescent="0.2">
      <c r="B12" s="10" t="s">
        <v>56</v>
      </c>
      <c r="C12" s="78">
        <v>1E-3</v>
      </c>
      <c r="D12" s="11" t="s">
        <v>4</v>
      </c>
      <c r="E12" s="26"/>
      <c r="F12" s="69" t="s">
        <v>77</v>
      </c>
      <c r="G12" s="26"/>
      <c r="H12" s="26"/>
      <c r="I12" s="26"/>
      <c r="J12" s="26"/>
    </row>
    <row r="13" spans="2:10" x14ac:dyDescent="0.2">
      <c r="B13" s="12" t="s">
        <v>55</v>
      </c>
      <c r="C13" s="78"/>
      <c r="D13" s="13" t="s">
        <v>4</v>
      </c>
      <c r="E13" s="26"/>
      <c r="F13" s="70" t="s">
        <v>78</v>
      </c>
      <c r="G13" s="26"/>
      <c r="H13" s="26"/>
      <c r="I13" s="26"/>
      <c r="J13" s="26"/>
    </row>
    <row r="14" spans="2:10" ht="13.5" thickBot="1" x14ac:dyDescent="0.25">
      <c r="B14" s="30" t="s">
        <v>37</v>
      </c>
      <c r="C14" s="31">
        <f>C10/(C9*C8*60)+C11+C12+C13</f>
        <v>7.7577380952380953E-2</v>
      </c>
      <c r="D14" s="30" t="s">
        <v>4</v>
      </c>
      <c r="E14" s="26"/>
      <c r="F14" s="26"/>
      <c r="G14" s="26"/>
      <c r="H14" s="26"/>
      <c r="I14" s="26"/>
      <c r="J14" s="26"/>
    </row>
    <row r="15" spans="2:10" ht="13.5" thickTop="1" x14ac:dyDescent="0.2">
      <c r="B15" s="26"/>
      <c r="C15" s="26"/>
      <c r="D15" s="26"/>
      <c r="E15" s="26"/>
      <c r="F15" s="26"/>
      <c r="G15" s="26"/>
      <c r="H15" s="26"/>
      <c r="I15" s="26"/>
      <c r="J15" s="26"/>
    </row>
    <row r="16" spans="2:10" x14ac:dyDescent="0.2">
      <c r="B16" s="26"/>
      <c r="C16" s="26"/>
      <c r="D16" s="26"/>
      <c r="E16" s="26"/>
      <c r="F16" s="26"/>
      <c r="G16" s="26"/>
      <c r="H16" s="26"/>
      <c r="I16" s="26"/>
      <c r="J16" s="26"/>
    </row>
    <row r="17" spans="2:10" x14ac:dyDescent="0.2">
      <c r="B17" s="26"/>
      <c r="C17" s="26"/>
      <c r="D17" s="26"/>
      <c r="E17" s="26"/>
      <c r="F17" s="26"/>
      <c r="G17" s="26"/>
      <c r="H17" s="26"/>
      <c r="I17" s="26"/>
      <c r="J17" s="26"/>
    </row>
    <row r="18" spans="2:10" x14ac:dyDescent="0.2">
      <c r="B18" s="71" t="s">
        <v>83</v>
      </c>
      <c r="C18" s="62"/>
      <c r="D18" s="63"/>
      <c r="E18" s="26"/>
      <c r="F18" s="26"/>
      <c r="G18" s="26"/>
      <c r="H18" s="26"/>
      <c r="I18" s="26"/>
      <c r="J18" s="26"/>
    </row>
    <row r="19" spans="2:10" x14ac:dyDescent="0.2">
      <c r="B19" s="26"/>
      <c r="C19" s="26"/>
      <c r="D19" s="26"/>
      <c r="E19" s="26"/>
      <c r="F19" s="26"/>
      <c r="G19" s="26"/>
      <c r="H19" s="26"/>
      <c r="I19" s="26"/>
      <c r="J19" s="26"/>
    </row>
    <row r="20" spans="2:10" x14ac:dyDescent="0.2">
      <c r="B20" s="72" t="s">
        <v>84</v>
      </c>
      <c r="C20" s="64"/>
      <c r="D20" s="49"/>
      <c r="E20" s="26"/>
      <c r="F20" s="26"/>
      <c r="G20" s="26"/>
      <c r="H20" s="26"/>
      <c r="I20" s="26"/>
      <c r="J20" s="26"/>
    </row>
    <row r="21" spans="2:10" x14ac:dyDescent="0.2">
      <c r="B21" s="26"/>
      <c r="C21" s="26"/>
      <c r="D21" s="26"/>
      <c r="E21" s="26"/>
      <c r="F21" s="26"/>
      <c r="G21" s="26"/>
      <c r="H21" s="26"/>
      <c r="I21" s="26"/>
      <c r="J21" s="26"/>
    </row>
    <row r="22" spans="2:10" x14ac:dyDescent="0.2">
      <c r="B22" s="73" t="s">
        <v>79</v>
      </c>
      <c r="C22" s="44"/>
      <c r="D22" s="45"/>
      <c r="E22" s="26"/>
      <c r="F22" s="26"/>
      <c r="G22" s="26"/>
      <c r="H22" s="26"/>
      <c r="I22" s="26"/>
      <c r="J22" s="26"/>
    </row>
    <row r="23" spans="2:10" x14ac:dyDescent="0.2">
      <c r="B23" s="38" t="str">
        <f>'Detailed Coating line calc'!B46</f>
        <v>Blue collar cost</v>
      </c>
      <c r="C23" s="34">
        <f>'Detailed Coating line calc'!D46</f>
        <v>77.5</v>
      </c>
      <c r="D23" s="39" t="s">
        <v>32</v>
      </c>
      <c r="E23" s="26"/>
      <c r="F23" s="26"/>
      <c r="G23" s="26"/>
      <c r="H23" s="26"/>
      <c r="I23" s="26"/>
      <c r="J23" s="26"/>
    </row>
    <row r="24" spans="2:10" x14ac:dyDescent="0.2">
      <c r="B24" s="40" t="str">
        <f>'Detailed Coating line calc'!B47</f>
        <v>Fixed line cost</v>
      </c>
      <c r="C24" s="34">
        <f>'Detailed Coating line calc'!D47</f>
        <v>28.761904761904763</v>
      </c>
      <c r="D24" s="41" t="s">
        <v>32</v>
      </c>
      <c r="E24" s="26"/>
      <c r="F24" s="26"/>
      <c r="G24" s="26"/>
      <c r="H24" s="26"/>
      <c r="I24" s="26"/>
      <c r="J24" s="26"/>
    </row>
    <row r="25" spans="2:10" x14ac:dyDescent="0.2">
      <c r="B25" s="40" t="str">
        <f>'Detailed Coating line calc'!B48</f>
        <v>Energy</v>
      </c>
      <c r="C25" s="34">
        <f>'Detailed Coating line calc'!D48</f>
        <v>56</v>
      </c>
      <c r="D25" s="41" t="s">
        <v>32</v>
      </c>
      <c r="E25" s="26"/>
      <c r="F25" s="26"/>
      <c r="G25" s="26"/>
      <c r="H25" s="26"/>
      <c r="I25" s="26"/>
      <c r="J25" s="26"/>
    </row>
    <row r="26" spans="2:10" x14ac:dyDescent="0.2">
      <c r="B26" s="233" t="str">
        <f>'Detailed Coating line calc'!B49</f>
        <v>Variable line cost</v>
      </c>
      <c r="C26" s="34">
        <f>'Detailed Coating line calc'!D49</f>
        <v>9.5238095238095184</v>
      </c>
      <c r="D26" s="233" t="s">
        <v>32</v>
      </c>
      <c r="E26" s="26"/>
      <c r="F26" s="26"/>
      <c r="G26" s="26"/>
      <c r="H26" s="26"/>
      <c r="I26" s="26"/>
      <c r="J26" s="26"/>
    </row>
    <row r="27" spans="2:10" x14ac:dyDescent="0.2">
      <c r="B27" s="231" t="s">
        <v>87</v>
      </c>
      <c r="C27" s="232">
        <v>0.8</v>
      </c>
      <c r="D27" s="42"/>
      <c r="E27" s="26"/>
      <c r="F27" s="26"/>
      <c r="G27" s="26"/>
      <c r="H27" s="26"/>
      <c r="I27" s="26"/>
      <c r="J27" s="26"/>
    </row>
    <row r="28" spans="2:10" x14ac:dyDescent="0.2">
      <c r="B28" s="46" t="s">
        <v>57</v>
      </c>
      <c r="C28" s="47">
        <f>SUM(C23:C26)/C27</f>
        <v>214.73214285714283</v>
      </c>
      <c r="D28" s="48" t="s">
        <v>32</v>
      </c>
      <c r="E28" s="26"/>
      <c r="F28" s="26"/>
      <c r="G28" s="26"/>
      <c r="H28" s="26"/>
      <c r="I28" s="26"/>
      <c r="J28" s="26"/>
    </row>
    <row r="29" spans="2:10" x14ac:dyDescent="0.2">
      <c r="B29" s="59"/>
      <c r="C29" s="59"/>
      <c r="D29" s="59"/>
      <c r="E29" s="26"/>
      <c r="F29" s="26"/>
      <c r="G29" s="26"/>
      <c r="H29" s="26"/>
      <c r="I29" s="26"/>
      <c r="J29" s="26"/>
    </row>
    <row r="30" spans="2:10" x14ac:dyDescent="0.2">
      <c r="B30" s="74" t="s">
        <v>80</v>
      </c>
      <c r="C30" s="54"/>
      <c r="D30" s="55"/>
      <c r="E30" s="26"/>
      <c r="F30" s="26"/>
      <c r="G30" s="26"/>
      <c r="H30" s="26"/>
      <c r="I30" s="26"/>
      <c r="J30" s="26"/>
    </row>
    <row r="31" spans="2:10" x14ac:dyDescent="0.2">
      <c r="B31" s="234" t="s">
        <v>186</v>
      </c>
      <c r="C31" s="235">
        <v>1.4999999999999999E-2</v>
      </c>
      <c r="D31" s="236" t="s">
        <v>4</v>
      </c>
      <c r="E31" s="26"/>
      <c r="F31" s="26"/>
      <c r="G31" s="26"/>
      <c r="H31" s="26"/>
      <c r="I31" s="26"/>
      <c r="J31" s="26"/>
    </row>
    <row r="32" spans="2:10" x14ac:dyDescent="0.2">
      <c r="B32" s="237" t="s">
        <v>185</v>
      </c>
      <c r="C32" s="241">
        <v>1</v>
      </c>
      <c r="D32" s="239"/>
      <c r="E32" s="26"/>
      <c r="F32" s="26"/>
      <c r="G32" s="26"/>
      <c r="H32" s="26"/>
      <c r="I32" s="26"/>
      <c r="J32" s="26"/>
    </row>
    <row r="33" spans="2:10" x14ac:dyDescent="0.2">
      <c r="B33" s="237" t="s">
        <v>180</v>
      </c>
      <c r="C33" s="238">
        <v>3</v>
      </c>
      <c r="D33" s="239"/>
      <c r="E33" s="26"/>
      <c r="F33" s="26"/>
      <c r="G33" s="26"/>
      <c r="H33" s="26"/>
      <c r="I33" s="26"/>
      <c r="J33" s="26"/>
    </row>
    <row r="34" spans="2:10" x14ac:dyDescent="0.2">
      <c r="B34" s="40" t="s">
        <v>181</v>
      </c>
      <c r="C34" s="36">
        <v>0</v>
      </c>
      <c r="D34" s="233" t="s">
        <v>4</v>
      </c>
      <c r="E34" s="26"/>
      <c r="F34" s="26"/>
      <c r="G34" s="26"/>
      <c r="H34" s="26"/>
      <c r="I34" s="26"/>
      <c r="J34" s="26"/>
    </row>
    <row r="35" spans="2:10" x14ac:dyDescent="0.2">
      <c r="B35" s="40" t="s">
        <v>182</v>
      </c>
      <c r="C35" s="36">
        <v>0</v>
      </c>
      <c r="D35" s="233" t="s">
        <v>4</v>
      </c>
      <c r="E35" s="26"/>
      <c r="F35" s="26"/>
      <c r="G35" s="26"/>
      <c r="H35" s="26"/>
      <c r="I35" s="26"/>
      <c r="J35" s="26"/>
    </row>
    <row r="36" spans="2:10" x14ac:dyDescent="0.2">
      <c r="B36" s="40" t="s">
        <v>183</v>
      </c>
      <c r="C36" s="36">
        <v>1</v>
      </c>
      <c r="D36" s="41"/>
      <c r="E36" s="26"/>
      <c r="F36" s="26"/>
      <c r="G36" s="26"/>
      <c r="H36" s="26"/>
      <c r="I36" s="26"/>
      <c r="J36" s="26"/>
    </row>
    <row r="37" spans="2:10" x14ac:dyDescent="0.2">
      <c r="B37" s="42" t="s">
        <v>184</v>
      </c>
      <c r="C37" s="36">
        <v>1</v>
      </c>
      <c r="D37" s="42"/>
      <c r="E37" s="26"/>
      <c r="F37" s="26"/>
      <c r="G37" s="26"/>
      <c r="H37" s="26"/>
      <c r="I37" s="26"/>
      <c r="J37" s="26"/>
    </row>
    <row r="38" spans="2:10" x14ac:dyDescent="0.2">
      <c r="B38" s="46" t="s">
        <v>43</v>
      </c>
      <c r="C38" s="50">
        <f>C31/(C32*C33)+(C34+C35)/(C36*C37)</f>
        <v>5.0000000000000001E-3</v>
      </c>
      <c r="D38" s="48" t="s">
        <v>4</v>
      </c>
      <c r="E38" s="26"/>
      <c r="F38" s="26"/>
      <c r="G38" s="26"/>
      <c r="H38" s="26"/>
      <c r="I38" s="26"/>
      <c r="J38" s="26"/>
    </row>
    <row r="39" spans="2:10" x14ac:dyDescent="0.2">
      <c r="B39" s="59"/>
      <c r="C39" s="59"/>
      <c r="D39" s="59"/>
      <c r="E39" s="26"/>
      <c r="F39" s="26"/>
      <c r="G39" s="26"/>
      <c r="H39" s="26"/>
      <c r="I39" s="26"/>
      <c r="J39" s="26"/>
    </row>
    <row r="40" spans="2:10" x14ac:dyDescent="0.2">
      <c r="B40" s="75" t="s">
        <v>81</v>
      </c>
      <c r="C40" s="51"/>
      <c r="D40" s="52"/>
      <c r="E40" s="26"/>
      <c r="F40" s="26"/>
      <c r="G40" s="26"/>
      <c r="H40" s="26"/>
      <c r="I40" s="26"/>
      <c r="J40" s="26"/>
    </row>
    <row r="41" spans="2:10" x14ac:dyDescent="0.2">
      <c r="B41" s="38" t="s">
        <v>66</v>
      </c>
      <c r="C41" s="36">
        <f>(25*80)/1000000</f>
        <v>2E-3</v>
      </c>
      <c r="D41" s="39" t="s">
        <v>68</v>
      </c>
      <c r="E41" s="26"/>
      <c r="F41" s="26"/>
      <c r="G41" s="26"/>
      <c r="H41" s="26"/>
      <c r="I41" s="26"/>
      <c r="J41" s="26"/>
    </row>
    <row r="42" spans="2:10" x14ac:dyDescent="0.2">
      <c r="B42" s="40" t="s">
        <v>72</v>
      </c>
      <c r="C42" s="36">
        <v>80</v>
      </c>
      <c r="D42" s="41" t="s">
        <v>70</v>
      </c>
      <c r="E42" s="26"/>
      <c r="F42" s="28"/>
      <c r="G42" s="26"/>
      <c r="H42" s="26"/>
      <c r="I42" s="26"/>
      <c r="J42" s="26"/>
    </row>
    <row r="43" spans="2:10" x14ac:dyDescent="0.2">
      <c r="B43" s="40" t="s">
        <v>73</v>
      </c>
      <c r="C43" s="37">
        <v>0.9</v>
      </c>
      <c r="D43" s="41"/>
      <c r="E43" s="26"/>
      <c r="F43" s="26"/>
      <c r="G43" s="26"/>
      <c r="H43" s="26"/>
      <c r="I43" s="26"/>
      <c r="J43" s="26"/>
    </row>
    <row r="44" spans="2:10" x14ac:dyDescent="0.2">
      <c r="B44" s="40" t="s">
        <v>69</v>
      </c>
      <c r="C44" s="36">
        <v>1.55</v>
      </c>
      <c r="D44" s="41"/>
      <c r="E44" s="26"/>
      <c r="F44" s="26"/>
      <c r="G44" s="26"/>
      <c r="H44" s="26"/>
      <c r="I44" s="26"/>
      <c r="J44" s="26"/>
    </row>
    <row r="45" spans="2:10" x14ac:dyDescent="0.2">
      <c r="B45" s="35" t="s">
        <v>67</v>
      </c>
      <c r="C45" s="36">
        <v>4</v>
      </c>
      <c r="D45" s="42" t="s">
        <v>35</v>
      </c>
      <c r="E45" s="26"/>
      <c r="F45" s="26"/>
      <c r="G45" s="26"/>
      <c r="H45" s="26"/>
      <c r="I45" s="26"/>
      <c r="J45" s="26"/>
    </row>
    <row r="46" spans="2:10" x14ac:dyDescent="0.2">
      <c r="B46" s="46" t="s">
        <v>34</v>
      </c>
      <c r="C46" s="53">
        <f>C45*C41*C44*C42/(1000*C43)</f>
        <v>1.1022222222222223E-3</v>
      </c>
      <c r="D46" s="48" t="s">
        <v>4</v>
      </c>
      <c r="E46" s="26"/>
      <c r="F46" s="28"/>
      <c r="G46" s="26"/>
      <c r="H46" s="26"/>
      <c r="I46" s="26"/>
      <c r="J46" s="26"/>
    </row>
    <row r="47" spans="2:10" x14ac:dyDescent="0.2">
      <c r="B47" s="59"/>
      <c r="C47" s="59"/>
      <c r="D47" s="59"/>
      <c r="E47" s="26"/>
      <c r="F47" s="26"/>
      <c r="G47" s="26"/>
      <c r="H47" s="26"/>
      <c r="I47" s="26"/>
      <c r="J47" s="26"/>
    </row>
    <row r="48" spans="2:10" x14ac:dyDescent="0.2">
      <c r="B48" s="76" t="s">
        <v>82</v>
      </c>
      <c r="C48" s="60"/>
      <c r="D48" s="61"/>
      <c r="E48" s="26"/>
      <c r="F48" s="28"/>
      <c r="G48" s="26"/>
      <c r="H48" s="26"/>
      <c r="I48" s="26"/>
      <c r="J48" s="26"/>
    </row>
    <row r="49" spans="2:10" x14ac:dyDescent="0.2">
      <c r="B49" s="38" t="s">
        <v>63</v>
      </c>
      <c r="C49" s="36">
        <f>19</f>
        <v>19</v>
      </c>
      <c r="D49" s="39"/>
      <c r="E49" s="26"/>
      <c r="F49" s="26"/>
      <c r="G49" s="26"/>
      <c r="H49" s="26"/>
      <c r="I49" s="26"/>
      <c r="J49" s="26"/>
    </row>
    <row r="50" spans="2:10" x14ac:dyDescent="0.2">
      <c r="B50" s="40" t="s">
        <v>65</v>
      </c>
      <c r="C50" s="36">
        <v>0</v>
      </c>
      <c r="D50" s="41" t="s">
        <v>71</v>
      </c>
      <c r="E50" s="26"/>
      <c r="F50" s="26"/>
      <c r="G50" s="26"/>
      <c r="H50" s="26"/>
      <c r="I50" s="26"/>
      <c r="J50" s="26"/>
    </row>
    <row r="51" spans="2:10" x14ac:dyDescent="0.2">
      <c r="B51" s="35" t="s">
        <v>64</v>
      </c>
      <c r="C51" s="36">
        <v>1000</v>
      </c>
      <c r="D51" s="42"/>
      <c r="E51" s="26"/>
      <c r="F51" s="26"/>
      <c r="G51" s="26"/>
      <c r="H51" s="26"/>
      <c r="I51" s="26"/>
      <c r="J51" s="26"/>
    </row>
    <row r="52" spans="2:10" x14ac:dyDescent="0.2">
      <c r="B52" s="46"/>
      <c r="C52" s="50">
        <f>C49*C50/(C51)</f>
        <v>0</v>
      </c>
      <c r="D52" s="48" t="s">
        <v>4</v>
      </c>
      <c r="E52" s="26"/>
      <c r="F52" s="26"/>
      <c r="G52" s="26"/>
      <c r="H52" s="26"/>
      <c r="I52" s="26"/>
      <c r="J52" s="26"/>
    </row>
    <row r="53" spans="2:10" x14ac:dyDescent="0.2">
      <c r="B53" s="26"/>
      <c r="C53" s="26"/>
      <c r="D53" s="26"/>
      <c r="E53" s="26"/>
      <c r="F53" s="26"/>
      <c r="G53" s="26"/>
      <c r="H53" s="26"/>
      <c r="I53" s="26"/>
      <c r="J53" s="26"/>
    </row>
    <row r="54" spans="2:10" x14ac:dyDescent="0.2">
      <c r="B54" s="26"/>
      <c r="C54" s="26"/>
      <c r="D54" s="26"/>
      <c r="E54" s="26"/>
      <c r="F54" s="26"/>
      <c r="G54" s="26"/>
      <c r="H54" s="26"/>
      <c r="I54" s="26"/>
      <c r="J54" s="26"/>
    </row>
    <row r="55" spans="2:10" x14ac:dyDescent="0.2">
      <c r="B55" s="26"/>
      <c r="C55" s="26"/>
      <c r="D55" s="26"/>
      <c r="E55" s="26"/>
      <c r="F55" s="26"/>
      <c r="G55" s="26"/>
      <c r="H55" s="26"/>
      <c r="I55" s="26"/>
      <c r="J55" s="26"/>
    </row>
    <row r="56" spans="2:10" x14ac:dyDescent="0.2">
      <c r="B56" s="26"/>
      <c r="C56" s="26"/>
      <c r="D56" s="26"/>
      <c r="E56" s="26"/>
      <c r="F56" s="26"/>
      <c r="G56" s="26"/>
      <c r="H56" s="26"/>
      <c r="I56" s="26"/>
      <c r="J56" s="26"/>
    </row>
    <row r="57" spans="2:10" x14ac:dyDescent="0.2">
      <c r="B57" s="26"/>
      <c r="C57" s="26"/>
      <c r="D57" s="26"/>
      <c r="E57" s="26"/>
      <c r="F57" s="26"/>
      <c r="G57" s="26"/>
      <c r="H57" s="26"/>
      <c r="I57" s="26"/>
      <c r="J57" s="26"/>
    </row>
    <row r="58" spans="2:10" x14ac:dyDescent="0.2">
      <c r="B58" s="26"/>
      <c r="C58" s="26"/>
      <c r="D58" s="26"/>
      <c r="E58" s="26"/>
      <c r="F58" s="26"/>
      <c r="G58" s="26"/>
      <c r="H58" s="26"/>
      <c r="I58" s="26"/>
      <c r="J58" s="26"/>
    </row>
    <row r="59" spans="2:10" x14ac:dyDescent="0.2">
      <c r="B59" s="26"/>
      <c r="C59" s="26"/>
      <c r="D59" s="26"/>
      <c r="E59" s="26"/>
      <c r="F59" s="26"/>
      <c r="G59" s="26"/>
      <c r="H59" s="26"/>
      <c r="I59" s="26"/>
      <c r="J59" s="26"/>
    </row>
    <row r="60" spans="2:10" x14ac:dyDescent="0.2">
      <c r="B60" s="26"/>
      <c r="C60" s="26"/>
      <c r="D60" s="26"/>
      <c r="E60" s="26"/>
      <c r="F60" s="26"/>
      <c r="G60" s="26"/>
      <c r="H60" s="26"/>
      <c r="I60" s="26"/>
      <c r="J60" s="26"/>
    </row>
    <row r="61" spans="2:10" x14ac:dyDescent="0.2">
      <c r="B61" s="26"/>
      <c r="C61" s="26"/>
      <c r="D61" s="26"/>
      <c r="E61" s="26"/>
      <c r="F61" s="26"/>
      <c r="G61" s="26"/>
      <c r="H61" s="26"/>
      <c r="I61" s="26"/>
      <c r="J61" s="26"/>
    </row>
    <row r="62" spans="2:10" x14ac:dyDescent="0.2">
      <c r="B62" s="26"/>
      <c r="C62" s="26"/>
      <c r="D62" s="26"/>
      <c r="E62" s="26"/>
      <c r="F62" s="26"/>
      <c r="G62" s="26"/>
      <c r="H62" s="26"/>
      <c r="I62" s="26"/>
      <c r="J62" s="26"/>
    </row>
    <row r="63" spans="2:10" x14ac:dyDescent="0.2">
      <c r="B63" s="26"/>
      <c r="C63" s="26"/>
      <c r="D63" s="26"/>
      <c r="E63" s="26"/>
      <c r="F63" s="26"/>
      <c r="G63" s="26"/>
      <c r="H63" s="26"/>
      <c r="I63" s="26"/>
      <c r="J63" s="26"/>
    </row>
    <row r="64" spans="2:10" x14ac:dyDescent="0.2">
      <c r="B64" s="26"/>
      <c r="C64" s="26"/>
      <c r="D64" s="26"/>
      <c r="E64" s="26"/>
      <c r="F64" s="26"/>
      <c r="G64" s="26"/>
      <c r="H64" s="26"/>
      <c r="I64" s="26"/>
      <c r="J64" s="26"/>
    </row>
    <row r="65" spans="2:10" x14ac:dyDescent="0.2">
      <c r="B65" s="26"/>
      <c r="C65" s="26"/>
      <c r="D65" s="26"/>
      <c r="E65" s="26"/>
      <c r="F65" s="26"/>
      <c r="G65" s="26"/>
      <c r="H65" s="26"/>
      <c r="I65" s="26"/>
      <c r="J65" s="26"/>
    </row>
    <row r="66" spans="2:10" x14ac:dyDescent="0.2">
      <c r="B66" s="26"/>
      <c r="C66" s="26"/>
      <c r="D66" s="26"/>
      <c r="E66" s="26"/>
      <c r="F66" s="26"/>
      <c r="G66" s="26"/>
      <c r="H66" s="26"/>
      <c r="I66" s="26"/>
      <c r="J66" s="26"/>
    </row>
    <row r="67" spans="2:10" x14ac:dyDescent="0.2">
      <c r="B67" s="26"/>
      <c r="C67" s="26"/>
      <c r="D67" s="26"/>
      <c r="E67" s="26"/>
      <c r="F67" s="26"/>
      <c r="G67" s="26"/>
      <c r="H67" s="26"/>
      <c r="I67" s="26"/>
      <c r="J67" s="26"/>
    </row>
    <row r="68" spans="2:10" x14ac:dyDescent="0.2">
      <c r="B68" s="81" t="s">
        <v>85</v>
      </c>
      <c r="C68" s="26"/>
      <c r="D68" s="26"/>
      <c r="E68" s="26"/>
      <c r="F68" s="26"/>
      <c r="G68" s="26"/>
      <c r="H68" s="26"/>
      <c r="I68" s="26"/>
      <c r="J68" s="26"/>
    </row>
    <row r="69" spans="2:10" x14ac:dyDescent="0.2">
      <c r="B69" s="26"/>
      <c r="C69" s="26"/>
      <c r="D69" s="26"/>
      <c r="E69" s="26"/>
      <c r="F69" s="26"/>
      <c r="G69" s="26"/>
      <c r="H69" s="26"/>
      <c r="I69" s="26"/>
      <c r="J69" s="26"/>
    </row>
    <row r="70" spans="2:10" x14ac:dyDescent="0.2">
      <c r="B70" s="26" t="s">
        <v>5</v>
      </c>
      <c r="C70" s="27">
        <f>C24/($C$9*$C$8*60*C27)</f>
        <v>1.1984126984126984E-2</v>
      </c>
      <c r="D70" s="32">
        <f t="shared" ref="D70:D76" si="0">C70/$C$77</f>
        <v>0.15463389656938045</v>
      </c>
      <c r="E70" s="26"/>
      <c r="F70" s="26"/>
      <c r="G70" s="26"/>
      <c r="H70" s="26"/>
      <c r="I70" s="26"/>
      <c r="J70" s="26"/>
    </row>
    <row r="71" spans="2:10" x14ac:dyDescent="0.2">
      <c r="B71" s="26" t="s">
        <v>2</v>
      </c>
      <c r="C71" s="27">
        <f>C25/($C$9*$C$8*60*C27)</f>
        <v>2.3333333333333334E-2</v>
      </c>
      <c r="D71" s="32">
        <f t="shared" si="0"/>
        <v>0.30107526881720431</v>
      </c>
      <c r="E71" s="26"/>
      <c r="F71" s="26"/>
      <c r="G71" s="26"/>
      <c r="H71" s="26"/>
      <c r="I71" s="26"/>
      <c r="J71" s="26"/>
    </row>
    <row r="72" spans="2:10" x14ac:dyDescent="0.2">
      <c r="B72" s="26" t="s">
        <v>6</v>
      </c>
      <c r="C72" s="27">
        <f>C26/($C$9*$C$8*60*C27)</f>
        <v>3.9682539682539663E-3</v>
      </c>
      <c r="D72" s="32">
        <f t="shared" si="0"/>
        <v>5.1203277009728598E-2</v>
      </c>
      <c r="E72" s="26"/>
      <c r="F72" s="26"/>
      <c r="G72" s="26"/>
      <c r="H72" s="26"/>
      <c r="I72" s="26"/>
      <c r="J72" s="26"/>
    </row>
    <row r="73" spans="2:10" x14ac:dyDescent="0.2">
      <c r="B73" s="26" t="s">
        <v>3</v>
      </c>
      <c r="C73" s="27">
        <f>C23/($C$9*$C$8*60*C27)+C13</f>
        <v>3.229166666666667E-2</v>
      </c>
      <c r="D73" s="32">
        <f t="shared" si="0"/>
        <v>0.41666666666666669</v>
      </c>
      <c r="E73" s="26"/>
      <c r="F73" s="26"/>
      <c r="G73" s="26"/>
      <c r="H73" s="26"/>
      <c r="I73" s="26"/>
      <c r="J73" s="26"/>
    </row>
    <row r="74" spans="2:10" x14ac:dyDescent="0.2">
      <c r="B74" s="26" t="s">
        <v>54</v>
      </c>
      <c r="C74" s="27">
        <f>C12</f>
        <v>1E-3</v>
      </c>
      <c r="D74" s="32">
        <f t="shared" si="0"/>
        <v>1.2903225806451613E-2</v>
      </c>
      <c r="E74" s="26"/>
      <c r="F74" s="26"/>
      <c r="G74" s="26"/>
      <c r="H74" s="26"/>
      <c r="I74" s="26"/>
      <c r="J74" s="26"/>
    </row>
    <row r="75" spans="2:10" x14ac:dyDescent="0.2">
      <c r="B75" s="26" t="s">
        <v>43</v>
      </c>
      <c r="C75" s="27">
        <f>C11</f>
        <v>5.0000000000000001E-3</v>
      </c>
      <c r="D75" s="32">
        <f t="shared" si="0"/>
        <v>6.4516129032258063E-2</v>
      </c>
      <c r="E75" s="26"/>
      <c r="F75" s="26"/>
      <c r="G75" s="26"/>
      <c r="H75" s="26"/>
      <c r="I75" s="26"/>
      <c r="J75" s="26"/>
    </row>
    <row r="76" spans="2:10" x14ac:dyDescent="0.2">
      <c r="B76" s="26" t="s">
        <v>58</v>
      </c>
      <c r="C76" s="27">
        <f>C77-SUM(C70:C75)</f>
        <v>-7.7380952380953771E-5</v>
      </c>
      <c r="D76" s="32">
        <f t="shared" si="0"/>
        <v>-9.9846390168972614E-4</v>
      </c>
      <c r="E76" s="26"/>
      <c r="F76" s="26"/>
      <c r="G76" s="26"/>
      <c r="H76" s="26"/>
      <c r="I76" s="26"/>
      <c r="J76" s="26"/>
    </row>
    <row r="77" spans="2:10" x14ac:dyDescent="0.2">
      <c r="B77" s="26" t="s">
        <v>59</v>
      </c>
      <c r="C77" s="26">
        <v>7.7499999999999999E-2</v>
      </c>
      <c r="D77" s="33">
        <f>SUM(D70:D76)</f>
        <v>1</v>
      </c>
      <c r="E77" s="26"/>
      <c r="F77" s="26"/>
      <c r="G77" s="26"/>
      <c r="H77" s="26"/>
      <c r="I77" s="26"/>
      <c r="J77" s="26"/>
    </row>
    <row r="78" spans="2:10" x14ac:dyDescent="0.2">
      <c r="B78" s="26"/>
      <c r="C78" s="26"/>
      <c r="D78" s="26"/>
      <c r="E78" s="26"/>
      <c r="F78" s="26"/>
      <c r="G78" s="26"/>
      <c r="H78" s="26"/>
      <c r="I78" s="26"/>
      <c r="J78" s="26"/>
    </row>
    <row r="79" spans="2:10" x14ac:dyDescent="0.2">
      <c r="B79" s="26"/>
      <c r="C79" s="26"/>
      <c r="D79" s="26"/>
      <c r="E79" s="26"/>
      <c r="F79" s="26"/>
      <c r="G79" s="26"/>
      <c r="H79" s="26"/>
      <c r="I79" s="26"/>
      <c r="J79" s="26"/>
    </row>
    <row r="80" spans="2:10" x14ac:dyDescent="0.2">
      <c r="B80" s="26"/>
      <c r="C80" s="26"/>
      <c r="D80" s="26"/>
      <c r="E80" s="26"/>
      <c r="F80" s="26"/>
      <c r="G80" s="26"/>
      <c r="H80" s="26"/>
      <c r="I80" s="26"/>
      <c r="J80" s="26"/>
    </row>
    <row r="81" spans="2:10" x14ac:dyDescent="0.2">
      <c r="B81" s="26"/>
      <c r="C81" s="26"/>
      <c r="D81" s="26"/>
      <c r="E81" s="26"/>
      <c r="F81" s="26"/>
      <c r="G81" s="26"/>
      <c r="H81" s="26"/>
      <c r="I81" s="26"/>
      <c r="J81" s="26"/>
    </row>
    <row r="82" spans="2:10" x14ac:dyDescent="0.2">
      <c r="B82" s="26"/>
      <c r="C82" s="26"/>
      <c r="D82" s="26"/>
      <c r="E82" s="26"/>
      <c r="F82" s="26"/>
      <c r="G82" s="26"/>
      <c r="H82" s="26"/>
      <c r="I82" s="26"/>
      <c r="J82" s="26"/>
    </row>
    <row r="83" spans="2:10" x14ac:dyDescent="0.2">
      <c r="B83" s="26"/>
      <c r="C83" s="26"/>
      <c r="D83" s="26"/>
      <c r="E83" s="26"/>
      <c r="F83" s="26"/>
      <c r="G83" s="26"/>
      <c r="H83" s="26"/>
      <c r="I83" s="26"/>
      <c r="J83" s="26"/>
    </row>
    <row r="84" spans="2:10" x14ac:dyDescent="0.2">
      <c r="B84" s="26"/>
      <c r="C84" s="26"/>
      <c r="D84" s="26"/>
      <c r="E84" s="26"/>
      <c r="F84" s="26"/>
      <c r="G84" s="26"/>
      <c r="H84" s="26"/>
      <c r="I84" s="26"/>
      <c r="J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  <c r="J85" s="26"/>
    </row>
    <row r="86" spans="2:10" x14ac:dyDescent="0.2">
      <c r="B86" s="26"/>
      <c r="C86" s="26"/>
      <c r="D86" s="26"/>
      <c r="E86" s="26"/>
      <c r="F86" s="26"/>
      <c r="G86" s="26"/>
      <c r="H86" s="26"/>
      <c r="I86" s="26"/>
      <c r="J86" s="26"/>
    </row>
    <row r="87" spans="2:10" x14ac:dyDescent="0.2">
      <c r="B87" s="26"/>
      <c r="C87" s="26"/>
      <c r="D87" s="26"/>
      <c r="E87" s="26"/>
      <c r="F87" s="26"/>
      <c r="G87" s="26"/>
      <c r="H87" s="26"/>
      <c r="I87" s="26"/>
      <c r="J87" s="26"/>
    </row>
    <row r="88" spans="2:10" x14ac:dyDescent="0.2">
      <c r="B88" s="26"/>
      <c r="C88" s="26"/>
      <c r="D88" s="26"/>
      <c r="E88" s="26"/>
      <c r="F88" s="26"/>
      <c r="G88" s="26"/>
      <c r="H88" s="26"/>
      <c r="I88" s="26"/>
      <c r="J88" s="26"/>
    </row>
    <row r="89" spans="2:10" x14ac:dyDescent="0.2">
      <c r="B89" s="26"/>
      <c r="C89" s="26"/>
      <c r="D89" s="26"/>
      <c r="E89" s="26"/>
      <c r="F89" s="26"/>
      <c r="G89" s="26"/>
      <c r="H89" s="26"/>
      <c r="I89" s="26"/>
      <c r="J89" s="26"/>
    </row>
    <row r="90" spans="2:10" x14ac:dyDescent="0.2">
      <c r="B90" s="26"/>
      <c r="C90" s="26"/>
      <c r="D90" s="26"/>
      <c r="E90" s="26"/>
      <c r="F90" s="26"/>
      <c r="G90" s="26"/>
      <c r="H90" s="26"/>
      <c r="I90" s="26"/>
      <c r="J90" s="26"/>
    </row>
    <row r="91" spans="2:10" x14ac:dyDescent="0.2">
      <c r="B91" s="26"/>
      <c r="C91" s="26"/>
      <c r="D91" s="26"/>
      <c r="E91" s="26"/>
      <c r="F91" s="26"/>
      <c r="G91" s="26"/>
      <c r="H91" s="26"/>
      <c r="I91" s="26"/>
      <c r="J91" s="26"/>
    </row>
    <row r="92" spans="2:10" x14ac:dyDescent="0.2">
      <c r="B92" s="26"/>
      <c r="C92" s="26"/>
      <c r="D92" s="26"/>
      <c r="E92" s="26"/>
      <c r="F92" s="26"/>
      <c r="G92" s="26"/>
      <c r="H92" s="26"/>
      <c r="I92" s="26"/>
      <c r="J92" s="26"/>
    </row>
    <row r="93" spans="2:10" x14ac:dyDescent="0.2">
      <c r="B93" s="26"/>
      <c r="C93" s="26"/>
      <c r="D93" s="26"/>
      <c r="E93" s="26"/>
      <c r="F93" s="26"/>
      <c r="G93" s="26"/>
      <c r="H93" s="26"/>
      <c r="I93" s="26"/>
      <c r="J93" s="26"/>
    </row>
    <row r="94" spans="2:10" x14ac:dyDescent="0.2">
      <c r="B94" s="26"/>
      <c r="C94" s="26"/>
      <c r="D94" s="26"/>
      <c r="E94" s="26"/>
      <c r="F94" s="26"/>
      <c r="G94" s="26"/>
      <c r="H94" s="26"/>
      <c r="I94" s="26"/>
      <c r="J94" s="26"/>
    </row>
    <row r="95" spans="2:10" x14ac:dyDescent="0.2">
      <c r="B95" s="26"/>
      <c r="C95" s="26"/>
      <c r="D95" s="26"/>
      <c r="E95" s="26"/>
      <c r="F95" s="26"/>
      <c r="G95" s="26"/>
      <c r="H95" s="26"/>
      <c r="I95" s="26"/>
      <c r="J95" s="26"/>
    </row>
    <row r="96" spans="2:10" x14ac:dyDescent="0.2">
      <c r="B96" s="26"/>
      <c r="C96" s="26"/>
      <c r="D96" s="26"/>
      <c r="E96" s="26"/>
      <c r="F96" s="26"/>
      <c r="G96" s="26"/>
      <c r="H96" s="26"/>
      <c r="I96" s="26"/>
      <c r="J96" s="26"/>
    </row>
    <row r="97" spans="2:10" x14ac:dyDescent="0.2">
      <c r="B97" s="26"/>
      <c r="C97" s="26"/>
      <c r="D97" s="26"/>
      <c r="E97" s="26"/>
      <c r="F97" s="26"/>
      <c r="G97" s="26"/>
      <c r="H97" s="26"/>
      <c r="I97" s="26"/>
      <c r="J97" s="26"/>
    </row>
    <row r="98" spans="2:10" x14ac:dyDescent="0.2">
      <c r="B98" s="26"/>
      <c r="C98" s="26"/>
      <c r="D98" s="26"/>
      <c r="E98" s="26"/>
      <c r="F98" s="26"/>
      <c r="G98" s="26"/>
      <c r="H98" s="26"/>
      <c r="I98" s="26"/>
      <c r="J98" s="26"/>
    </row>
    <row r="99" spans="2:10" x14ac:dyDescent="0.2">
      <c r="B99" s="26"/>
      <c r="C99" s="26"/>
      <c r="D99" s="26"/>
      <c r="E99" s="26"/>
      <c r="F99" s="26"/>
      <c r="G99" s="26"/>
      <c r="H99" s="26"/>
      <c r="I99" s="26"/>
      <c r="J99" s="26"/>
    </row>
    <row r="100" spans="2:10" x14ac:dyDescent="0.2">
      <c r="B100" s="26"/>
      <c r="C100" s="26"/>
      <c r="D100" s="26"/>
      <c r="E100" s="26"/>
      <c r="F100" s="26"/>
      <c r="G100" s="26"/>
      <c r="H100" s="26"/>
      <c r="I100" s="26"/>
      <c r="J100" s="26"/>
    </row>
    <row r="101" spans="2:10" x14ac:dyDescent="0.2"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2:10" x14ac:dyDescent="0.2"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2:10" x14ac:dyDescent="0.2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2:10" x14ac:dyDescent="0.2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2:10" x14ac:dyDescent="0.2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2:10" x14ac:dyDescent="0.2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2:10" x14ac:dyDescent="0.2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2:10" x14ac:dyDescent="0.2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2:10" x14ac:dyDescent="0.2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2:10" x14ac:dyDescent="0.2"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2:10" x14ac:dyDescent="0.2"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2:10" x14ac:dyDescent="0.2"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2:10" x14ac:dyDescent="0.2"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2:10" x14ac:dyDescent="0.2"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2:10" x14ac:dyDescent="0.2"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2:10" x14ac:dyDescent="0.2"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2:10" x14ac:dyDescent="0.2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"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2:10" x14ac:dyDescent="0.2"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2:10" x14ac:dyDescent="0.2"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2:10" x14ac:dyDescent="0.2"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2:10" x14ac:dyDescent="0.2"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2:10" x14ac:dyDescent="0.2"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2:10" x14ac:dyDescent="0.2"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2:10" x14ac:dyDescent="0.2"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2:10" x14ac:dyDescent="0.2"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2:10" x14ac:dyDescent="0.2"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2:10" x14ac:dyDescent="0.2"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2:10" x14ac:dyDescent="0.2"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2:10" x14ac:dyDescent="0.2"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2:10" x14ac:dyDescent="0.2"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2:10" x14ac:dyDescent="0.2"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2:10" x14ac:dyDescent="0.2"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2:10" x14ac:dyDescent="0.2">
      <c r="B135" s="26"/>
      <c r="C135" s="26"/>
      <c r="D135" s="26"/>
      <c r="E135" s="26"/>
      <c r="F135" s="26"/>
      <c r="G135" s="26"/>
      <c r="H135" s="26"/>
      <c r="I135" s="26"/>
      <c r="J135" s="26"/>
    </row>
    <row r="136" spans="2:10" x14ac:dyDescent="0.2">
      <c r="B136" s="26"/>
      <c r="C136" s="26"/>
      <c r="D136" s="26"/>
      <c r="E136" s="26"/>
      <c r="F136" s="26"/>
      <c r="G136" s="26"/>
      <c r="H136" s="26"/>
      <c r="I136" s="26"/>
      <c r="J136" s="26"/>
    </row>
    <row r="137" spans="2:10" x14ac:dyDescent="0.2">
      <c r="B137" s="26"/>
      <c r="C137" s="26"/>
      <c r="D137" s="26"/>
      <c r="E137" s="26"/>
      <c r="F137" s="26"/>
      <c r="G137" s="26"/>
      <c r="H137" s="26"/>
      <c r="I137" s="26"/>
      <c r="J137" s="26"/>
    </row>
    <row r="138" spans="2:10" x14ac:dyDescent="0.2">
      <c r="B138" s="26"/>
      <c r="C138" s="26"/>
      <c r="D138" s="26"/>
      <c r="E138" s="26"/>
      <c r="F138" s="26"/>
      <c r="G138" s="26"/>
      <c r="H138" s="26"/>
      <c r="I138" s="26"/>
      <c r="J138" s="26"/>
    </row>
    <row r="139" spans="2:10" x14ac:dyDescent="0.2"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2:10" x14ac:dyDescent="0.2">
      <c r="B140" s="26"/>
      <c r="C140" s="26"/>
      <c r="D140" s="26"/>
      <c r="E140" s="26"/>
      <c r="F140" s="26"/>
      <c r="G140" s="26"/>
      <c r="H140" s="26"/>
      <c r="I140" s="26"/>
      <c r="J140" s="26"/>
    </row>
    <row r="141" spans="2:10" x14ac:dyDescent="0.2">
      <c r="B141" s="26"/>
      <c r="C141" s="26"/>
      <c r="D141" s="26"/>
      <c r="E141" s="26"/>
      <c r="F141" s="26"/>
      <c r="G141" s="26"/>
      <c r="H141" s="26"/>
      <c r="I141" s="26"/>
      <c r="J141" s="26"/>
    </row>
    <row r="142" spans="2:10" x14ac:dyDescent="0.2">
      <c r="B142" s="26"/>
      <c r="C142" s="26"/>
      <c r="D142" s="26"/>
      <c r="E142" s="26"/>
      <c r="F142" s="26"/>
      <c r="G142" s="26"/>
      <c r="H142" s="26"/>
      <c r="I142" s="26"/>
      <c r="J142" s="26"/>
    </row>
    <row r="143" spans="2:10" x14ac:dyDescent="0.2">
      <c r="B143" s="26"/>
      <c r="C143" s="26"/>
      <c r="D143" s="26"/>
      <c r="E143" s="26"/>
      <c r="F143" s="26"/>
      <c r="G143" s="26"/>
      <c r="H143" s="26"/>
      <c r="I143" s="26"/>
      <c r="J143" s="26"/>
    </row>
    <row r="144" spans="2:10" x14ac:dyDescent="0.2"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2:10" x14ac:dyDescent="0.2">
      <c r="B145" s="26"/>
      <c r="C145" s="26"/>
      <c r="D145" s="26"/>
      <c r="E145" s="26"/>
      <c r="F145" s="26"/>
      <c r="G145" s="26"/>
      <c r="H145" s="26"/>
      <c r="I145" s="26"/>
      <c r="J145" s="26"/>
    </row>
    <row r="146" spans="2:10" x14ac:dyDescent="0.2">
      <c r="B146" s="26"/>
      <c r="C146" s="26"/>
      <c r="D146" s="26"/>
      <c r="E146" s="26"/>
      <c r="F146" s="26"/>
      <c r="G146" s="26"/>
      <c r="H146" s="26"/>
      <c r="I146" s="26"/>
      <c r="J146" s="26"/>
    </row>
    <row r="147" spans="2:10" x14ac:dyDescent="0.2">
      <c r="B147" s="26"/>
      <c r="C147" s="26"/>
      <c r="D147" s="26"/>
      <c r="E147" s="26"/>
      <c r="F147" s="26"/>
      <c r="G147" s="26"/>
      <c r="H147" s="26"/>
      <c r="I147" s="26"/>
      <c r="J147" s="26"/>
    </row>
    <row r="148" spans="2:10" x14ac:dyDescent="0.2">
      <c r="B148" s="26"/>
      <c r="C148" s="26"/>
      <c r="D148" s="26"/>
      <c r="E148" s="26"/>
      <c r="F148" s="26"/>
      <c r="G148" s="26"/>
      <c r="H148" s="26"/>
      <c r="I148" s="26"/>
      <c r="J148" s="26"/>
    </row>
    <row r="149" spans="2:10" x14ac:dyDescent="0.2"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2:10" x14ac:dyDescent="0.2"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2:10" x14ac:dyDescent="0.2"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2:10" x14ac:dyDescent="0.2">
      <c r="B152" s="26"/>
      <c r="C152" s="26"/>
      <c r="D152" s="26"/>
      <c r="E152" s="26"/>
      <c r="F152" s="26"/>
      <c r="G152" s="26"/>
      <c r="H152" s="26"/>
      <c r="I152" s="26"/>
      <c r="J152" s="26"/>
    </row>
    <row r="153" spans="2:10" x14ac:dyDescent="0.2"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2:10" x14ac:dyDescent="0.2"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  <c r="J155" s="26"/>
    </row>
    <row r="156" spans="2:10" x14ac:dyDescent="0.2">
      <c r="B156" s="26"/>
      <c r="C156" s="26"/>
      <c r="D156" s="26"/>
      <c r="E156" s="26"/>
      <c r="F156" s="26"/>
      <c r="G156" s="26"/>
      <c r="H156" s="26"/>
      <c r="I156" s="26"/>
      <c r="J156" s="26"/>
    </row>
    <row r="157" spans="2:10" x14ac:dyDescent="0.2"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2:10" x14ac:dyDescent="0.2"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2:10" x14ac:dyDescent="0.2"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2:10" x14ac:dyDescent="0.2">
      <c r="B160" s="26"/>
      <c r="C160" s="26"/>
      <c r="D160" s="26"/>
      <c r="E160" s="26"/>
      <c r="F160" s="26"/>
      <c r="G160" s="26"/>
      <c r="H160" s="26"/>
      <c r="I160" s="26"/>
      <c r="J160" s="26"/>
    </row>
    <row r="161" spans="2:10" x14ac:dyDescent="0.2"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2:10" x14ac:dyDescent="0.2"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2:10" x14ac:dyDescent="0.2"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2:10" x14ac:dyDescent="0.2"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2:10" x14ac:dyDescent="0.2"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2:10" x14ac:dyDescent="0.2"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2:10" x14ac:dyDescent="0.2"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2:10" x14ac:dyDescent="0.2"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2:10" x14ac:dyDescent="0.2"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2:10" x14ac:dyDescent="0.2"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2:10" x14ac:dyDescent="0.2"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2:10" x14ac:dyDescent="0.2"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2:10" x14ac:dyDescent="0.2"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2:10" x14ac:dyDescent="0.2"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2:10" x14ac:dyDescent="0.2"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2:10" x14ac:dyDescent="0.2"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2:10" x14ac:dyDescent="0.2"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2:10" x14ac:dyDescent="0.2"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2:10" x14ac:dyDescent="0.2">
      <c r="B180" s="26"/>
      <c r="C180" s="26"/>
      <c r="D180" s="26"/>
      <c r="E180" s="26"/>
      <c r="F180" s="26"/>
      <c r="G180" s="26"/>
      <c r="H180" s="26"/>
      <c r="I180" s="26"/>
      <c r="J180" s="26"/>
    </row>
    <row r="181" spans="2:10" x14ac:dyDescent="0.2">
      <c r="B181" s="26"/>
      <c r="C181" s="26"/>
      <c r="D181" s="26"/>
      <c r="E181" s="26"/>
      <c r="F181" s="26"/>
      <c r="G181" s="26"/>
      <c r="H181" s="26"/>
      <c r="I181" s="26"/>
      <c r="J181" s="26"/>
    </row>
    <row r="182" spans="2:10" x14ac:dyDescent="0.2">
      <c r="B182" s="26"/>
      <c r="C182" s="26"/>
      <c r="D182" s="26"/>
      <c r="E182" s="26"/>
      <c r="F182" s="26"/>
      <c r="G182" s="26"/>
      <c r="H182" s="26"/>
      <c r="I182" s="26"/>
      <c r="J182" s="26"/>
    </row>
    <row r="183" spans="2:10" x14ac:dyDescent="0.2">
      <c r="B183" s="26"/>
      <c r="C183" s="26"/>
      <c r="D183" s="26"/>
      <c r="E183" s="26"/>
      <c r="F183" s="26"/>
      <c r="G183" s="26"/>
      <c r="H183" s="26"/>
      <c r="I183" s="26"/>
      <c r="J183" s="26"/>
    </row>
    <row r="184" spans="2:10" x14ac:dyDescent="0.2">
      <c r="B184" s="26"/>
      <c r="C184" s="26"/>
      <c r="D184" s="26"/>
      <c r="E184" s="26"/>
      <c r="F184" s="26"/>
      <c r="G184" s="26"/>
      <c r="H184" s="26"/>
      <c r="I184" s="26"/>
      <c r="J184" s="26"/>
    </row>
    <row r="185" spans="2:10" x14ac:dyDescent="0.2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 x14ac:dyDescent="0.2">
      <c r="B186" s="26"/>
      <c r="C186" s="26"/>
      <c r="D186" s="26"/>
      <c r="E186" s="26"/>
      <c r="F186" s="26"/>
      <c r="G186" s="26"/>
      <c r="H186" s="26"/>
      <c r="I186" s="26"/>
      <c r="J186" s="26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51"/>
  <sheetViews>
    <sheetView topLeftCell="A4" workbookViewId="0">
      <selection activeCell="D46" sqref="D46:D49"/>
    </sheetView>
  </sheetViews>
  <sheetFormatPr defaultRowHeight="12.75" x14ac:dyDescent="0.2"/>
  <cols>
    <col min="1" max="1" width="3.28515625" style="26" customWidth="1"/>
    <col min="2" max="2" width="35" style="26" customWidth="1"/>
    <col min="3" max="3" width="6.42578125" style="26" customWidth="1"/>
    <col min="4" max="4" width="16.42578125" style="26" customWidth="1"/>
    <col min="5" max="5" width="10.7109375" style="26" customWidth="1"/>
    <col min="6" max="6" width="20.28515625" style="26" customWidth="1"/>
    <col min="7" max="7" width="12.7109375" style="26" customWidth="1"/>
    <col min="8" max="12" width="9.140625" style="26"/>
    <col min="13" max="13" width="18" style="26" customWidth="1"/>
    <col min="14" max="16384" width="9.140625" style="26"/>
  </cols>
  <sheetData>
    <row r="4" spans="2:5" ht="20.25" x14ac:dyDescent="0.3">
      <c r="D4" s="58" t="s">
        <v>75</v>
      </c>
    </row>
    <row r="5" spans="2:5" ht="20.25" x14ac:dyDescent="0.3">
      <c r="C5" s="57" t="s">
        <v>76</v>
      </c>
    </row>
    <row r="9" spans="2:5" x14ac:dyDescent="0.2">
      <c r="B9" s="1"/>
      <c r="C9" s="1"/>
      <c r="D9" s="1"/>
      <c r="E9" s="1"/>
    </row>
    <row r="10" spans="2:5" x14ac:dyDescent="0.2">
      <c r="B10" s="14" t="s">
        <v>8</v>
      </c>
      <c r="C10" s="15"/>
      <c r="D10" s="20">
        <f>7000000/10</f>
        <v>700000</v>
      </c>
      <c r="E10" s="21" t="s">
        <v>7</v>
      </c>
    </row>
    <row r="11" spans="2:5" x14ac:dyDescent="0.2">
      <c r="B11" s="3" t="s">
        <v>9</v>
      </c>
      <c r="C11" s="2"/>
      <c r="D11" s="5">
        <v>10</v>
      </c>
      <c r="E11" s="19" t="s">
        <v>10</v>
      </c>
    </row>
    <row r="12" spans="2:5" x14ac:dyDescent="0.2">
      <c r="B12" s="4" t="s">
        <v>44</v>
      </c>
      <c r="C12" s="16"/>
      <c r="D12" s="17">
        <v>0.06</v>
      </c>
      <c r="E12" s="19"/>
    </row>
    <row r="13" spans="2:5" x14ac:dyDescent="0.2">
      <c r="B13" s="22" t="s">
        <v>36</v>
      </c>
      <c r="C13" s="2"/>
      <c r="D13" s="23">
        <f>D10/D11+D10*0.5*D12</f>
        <v>91000</v>
      </c>
      <c r="E13" s="19" t="s">
        <v>11</v>
      </c>
    </row>
    <row r="14" spans="2:5" x14ac:dyDescent="0.2">
      <c r="B14" s="3"/>
      <c r="C14" s="2"/>
      <c r="D14" s="5"/>
      <c r="E14" s="19"/>
    </row>
    <row r="15" spans="2:5" x14ac:dyDescent="0.2">
      <c r="B15" s="3" t="s">
        <v>15</v>
      </c>
      <c r="C15" s="2"/>
      <c r="D15" s="5">
        <f>375/10</f>
        <v>37.5</v>
      </c>
      <c r="E15" s="19" t="s">
        <v>13</v>
      </c>
    </row>
    <row r="16" spans="2:5" x14ac:dyDescent="0.2">
      <c r="B16" s="3" t="s">
        <v>12</v>
      </c>
      <c r="C16" s="2"/>
      <c r="D16" s="5">
        <v>1400</v>
      </c>
      <c r="E16" s="19" t="s">
        <v>0</v>
      </c>
    </row>
    <row r="17" spans="2:5" x14ac:dyDescent="0.2">
      <c r="B17" s="4" t="s">
        <v>14</v>
      </c>
      <c r="C17" s="16"/>
      <c r="D17" s="6">
        <f>75000/10</f>
        <v>7500</v>
      </c>
      <c r="E17" s="19" t="s">
        <v>11</v>
      </c>
    </row>
    <row r="18" spans="2:5" x14ac:dyDescent="0.2">
      <c r="B18" s="22" t="s">
        <v>16</v>
      </c>
      <c r="C18" s="2"/>
      <c r="D18" s="23">
        <f>D15*D16+D17</f>
        <v>60000</v>
      </c>
      <c r="E18" s="19" t="s">
        <v>11</v>
      </c>
    </row>
    <row r="19" spans="2:5" x14ac:dyDescent="0.2">
      <c r="B19" s="3"/>
      <c r="C19" s="2"/>
      <c r="D19" s="5"/>
      <c r="E19" s="19"/>
    </row>
    <row r="20" spans="2:5" ht="13.5" thickBot="1" x14ac:dyDescent="0.25">
      <c r="B20" s="7" t="s">
        <v>17</v>
      </c>
      <c r="C20" s="18"/>
      <c r="D20" s="8">
        <f>D13+D18</f>
        <v>151000</v>
      </c>
      <c r="E20" s="19" t="s">
        <v>11</v>
      </c>
    </row>
    <row r="21" spans="2:5" ht="13.5" thickTop="1" x14ac:dyDescent="0.2">
      <c r="B21" s="3"/>
      <c r="C21" s="2"/>
      <c r="D21" s="5"/>
      <c r="E21" s="19"/>
    </row>
    <row r="22" spans="2:5" x14ac:dyDescent="0.2">
      <c r="B22" s="3"/>
      <c r="C22" s="2"/>
      <c r="D22" s="5"/>
      <c r="E22" s="19"/>
    </row>
    <row r="23" spans="2:5" x14ac:dyDescent="0.2">
      <c r="B23" s="3" t="s">
        <v>18</v>
      </c>
      <c r="C23" s="2"/>
      <c r="D23" s="5">
        <f>100000/10</f>
        <v>10000</v>
      </c>
      <c r="E23" s="19" t="s">
        <v>11</v>
      </c>
    </row>
    <row r="24" spans="2:5" x14ac:dyDescent="0.2">
      <c r="B24" s="3" t="s">
        <v>21</v>
      </c>
      <c r="C24" s="2"/>
      <c r="D24" s="5">
        <f>25000/10</f>
        <v>2500</v>
      </c>
      <c r="E24" s="19" t="s">
        <v>11</v>
      </c>
    </row>
    <row r="25" spans="2:5" x14ac:dyDescent="0.2">
      <c r="B25" s="3" t="s">
        <v>22</v>
      </c>
      <c r="C25" s="2"/>
      <c r="D25" s="5">
        <f>25000/10</f>
        <v>2500</v>
      </c>
      <c r="E25" s="19" t="s">
        <v>11</v>
      </c>
    </row>
    <row r="26" spans="2:5" x14ac:dyDescent="0.2">
      <c r="B26" s="3" t="s">
        <v>23</v>
      </c>
      <c r="C26" s="2"/>
      <c r="D26" s="5">
        <f>20000/10</f>
        <v>2000</v>
      </c>
      <c r="E26" s="19" t="s">
        <v>11</v>
      </c>
    </row>
    <row r="27" spans="2:5" x14ac:dyDescent="0.2">
      <c r="B27" s="4" t="s">
        <v>19</v>
      </c>
      <c r="C27" s="16"/>
      <c r="D27" s="6">
        <f>20000/10</f>
        <v>2000</v>
      </c>
      <c r="E27" s="19" t="s">
        <v>11</v>
      </c>
    </row>
    <row r="28" spans="2:5" x14ac:dyDescent="0.2">
      <c r="B28" s="22" t="s">
        <v>20</v>
      </c>
      <c r="C28" s="2"/>
      <c r="D28" s="23">
        <f>SUM(D23:D27)</f>
        <v>19000</v>
      </c>
      <c r="E28" s="24" t="s">
        <v>11</v>
      </c>
    </row>
    <row r="29" spans="2:5" x14ac:dyDescent="0.2">
      <c r="B29" s="3"/>
      <c r="C29" s="2"/>
      <c r="D29" s="5"/>
      <c r="E29" s="19"/>
    </row>
    <row r="30" spans="2:5" x14ac:dyDescent="0.2">
      <c r="B30" s="3" t="s">
        <v>24</v>
      </c>
      <c r="C30" s="2"/>
      <c r="D30" s="5">
        <f>300000/10</f>
        <v>30000</v>
      </c>
      <c r="E30" s="19" t="s">
        <v>11</v>
      </c>
    </row>
    <row r="31" spans="2:5" x14ac:dyDescent="0.2">
      <c r="B31" s="3" t="s">
        <v>25</v>
      </c>
      <c r="C31" s="2"/>
      <c r="D31" s="5">
        <f>10000/10</f>
        <v>1000</v>
      </c>
      <c r="E31" s="19" t="s">
        <v>11</v>
      </c>
    </row>
    <row r="32" spans="2:5" x14ac:dyDescent="0.2">
      <c r="B32" s="3" t="s">
        <v>1</v>
      </c>
      <c r="C32" s="2"/>
      <c r="D32" s="5">
        <v>0</v>
      </c>
      <c r="E32" s="19" t="s">
        <v>11</v>
      </c>
    </row>
    <row r="33" spans="2:5" x14ac:dyDescent="0.2">
      <c r="B33" s="3" t="s">
        <v>26</v>
      </c>
      <c r="C33" s="2"/>
      <c r="D33" s="5">
        <v>700</v>
      </c>
      <c r="E33" s="19" t="s">
        <v>39</v>
      </c>
    </row>
    <row r="34" spans="2:5" x14ac:dyDescent="0.2">
      <c r="B34" s="3" t="s">
        <v>27</v>
      </c>
      <c r="C34" s="2"/>
      <c r="D34" s="25">
        <f>0.8/10</f>
        <v>0.08</v>
      </c>
      <c r="E34" s="19" t="s">
        <v>30</v>
      </c>
    </row>
    <row r="35" spans="2:5" x14ac:dyDescent="0.2">
      <c r="B35" s="4" t="s">
        <v>28</v>
      </c>
      <c r="C35" s="16"/>
      <c r="D35" s="6">
        <v>5250</v>
      </c>
      <c r="E35" s="19" t="s">
        <v>38</v>
      </c>
    </row>
    <row r="36" spans="2:5" x14ac:dyDescent="0.2">
      <c r="B36" s="22" t="s">
        <v>29</v>
      </c>
      <c r="C36" s="2"/>
      <c r="D36" s="23">
        <f>D30+D31+(D33*D34*D35)</f>
        <v>325000</v>
      </c>
      <c r="E36" s="24" t="s">
        <v>11</v>
      </c>
    </row>
    <row r="37" spans="2:5" x14ac:dyDescent="0.2">
      <c r="B37" s="3"/>
      <c r="C37" s="16"/>
      <c r="D37" s="5"/>
      <c r="E37" s="19"/>
    </row>
    <row r="38" spans="2:5" ht="13.5" thickBot="1" x14ac:dyDescent="0.25">
      <c r="B38" s="7" t="s">
        <v>31</v>
      </c>
      <c r="C38" s="18"/>
      <c r="D38" s="8">
        <f>D28+D36</f>
        <v>344000</v>
      </c>
      <c r="E38" s="24" t="s">
        <v>11</v>
      </c>
    </row>
    <row r="39" spans="2:5" ht="13.5" thickTop="1" x14ac:dyDescent="0.2">
      <c r="B39" s="3"/>
      <c r="C39" s="2"/>
      <c r="D39" s="5"/>
      <c r="E39" s="19"/>
    </row>
    <row r="40" spans="2:5" x14ac:dyDescent="0.2">
      <c r="B40" s="3"/>
      <c r="C40" s="2"/>
      <c r="D40" s="5"/>
      <c r="E40" s="19"/>
    </row>
    <row r="41" spans="2:5" x14ac:dyDescent="0.2">
      <c r="B41" s="3" t="s">
        <v>3</v>
      </c>
      <c r="C41" s="2"/>
      <c r="D41" s="5">
        <f>125/10</f>
        <v>12.5</v>
      </c>
      <c r="E41" s="19" t="s">
        <v>32</v>
      </c>
    </row>
    <row r="42" spans="2:5" x14ac:dyDescent="0.2">
      <c r="B42" s="4" t="s">
        <v>33</v>
      </c>
      <c r="C42" s="16"/>
      <c r="D42" s="6">
        <f>D41*(0.4)+D41*0.15</f>
        <v>6.875</v>
      </c>
      <c r="E42" s="19" t="s">
        <v>32</v>
      </c>
    </row>
    <row r="43" spans="2:5" x14ac:dyDescent="0.2">
      <c r="B43" s="3" t="s">
        <v>46</v>
      </c>
      <c r="C43" s="2"/>
      <c r="D43" s="5">
        <f>D41+D42</f>
        <v>19.375</v>
      </c>
      <c r="E43" s="19" t="s">
        <v>32</v>
      </c>
    </row>
    <row r="44" spans="2:5" x14ac:dyDescent="0.2">
      <c r="B44" s="3" t="s">
        <v>47</v>
      </c>
      <c r="C44" s="2"/>
      <c r="D44" s="5">
        <v>4</v>
      </c>
      <c r="E44" s="19" t="s">
        <v>48</v>
      </c>
    </row>
    <row r="45" spans="2:5" x14ac:dyDescent="0.2">
      <c r="B45" s="3"/>
      <c r="C45" s="2"/>
      <c r="D45" s="5"/>
      <c r="E45" s="19"/>
    </row>
    <row r="46" spans="2:5" x14ac:dyDescent="0.2">
      <c r="B46" s="22" t="s">
        <v>53</v>
      </c>
      <c r="C46" s="2"/>
      <c r="D46" s="23">
        <f>D44*D43</f>
        <v>77.5</v>
      </c>
      <c r="E46" s="24" t="s">
        <v>32</v>
      </c>
    </row>
    <row r="47" spans="2:5" x14ac:dyDescent="0.2">
      <c r="B47" s="22" t="s">
        <v>5</v>
      </c>
      <c r="C47" s="2"/>
      <c r="D47" s="23">
        <f>D20/(D35)</f>
        <v>28.761904761904763</v>
      </c>
      <c r="E47" s="24" t="s">
        <v>32</v>
      </c>
    </row>
    <row r="48" spans="2:5" x14ac:dyDescent="0.2">
      <c r="B48" s="22" t="s">
        <v>2</v>
      </c>
      <c r="C48" s="2"/>
      <c r="D48" s="23">
        <f>D33*D34</f>
        <v>56</v>
      </c>
      <c r="E48" s="24" t="s">
        <v>32</v>
      </c>
    </row>
    <row r="49" spans="2:5" x14ac:dyDescent="0.2">
      <c r="B49" s="22" t="s">
        <v>6</v>
      </c>
      <c r="C49" s="2"/>
      <c r="D49" s="23">
        <f>D38/(D35)-D48</f>
        <v>9.5238095238095184</v>
      </c>
      <c r="E49" s="24" t="s">
        <v>32</v>
      </c>
    </row>
    <row r="50" spans="2:5" ht="13.5" thickBot="1" x14ac:dyDescent="0.25">
      <c r="B50" s="7" t="s">
        <v>49</v>
      </c>
      <c r="C50" s="18"/>
      <c r="D50" s="8">
        <f>SUM(D46:D49)</f>
        <v>171.78571428571428</v>
      </c>
      <c r="E50" s="24" t="s">
        <v>32</v>
      </c>
    </row>
    <row r="51" spans="2:5" ht="13.5" thickTop="1" x14ac:dyDescent="0.2">
      <c r="B51" s="22"/>
      <c r="C51" s="2"/>
      <c r="D51" s="23"/>
      <c r="E51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59"/>
  <sheetViews>
    <sheetView showGridLines="0" topLeftCell="A51" zoomScale="70" zoomScaleNormal="70" zoomScaleSheetLayoutView="70" workbookViewId="0">
      <selection activeCell="F102" sqref="F102"/>
    </sheetView>
  </sheetViews>
  <sheetFormatPr defaultRowHeight="12.75" x14ac:dyDescent="0.2"/>
  <cols>
    <col min="1" max="1" width="2" customWidth="1"/>
    <col min="2" max="2" width="20" customWidth="1"/>
    <col min="3" max="3" width="7.5703125" customWidth="1"/>
    <col min="4" max="4" width="11.28515625" customWidth="1"/>
    <col min="5" max="5" width="12.28515625" customWidth="1"/>
    <col min="6" max="6" width="11.7109375" style="228" customWidth="1"/>
    <col min="7" max="7" width="9.42578125" style="228" customWidth="1"/>
    <col min="8" max="8" width="5.28515625" style="228" customWidth="1"/>
    <col min="9" max="9" width="29.5703125" customWidth="1"/>
    <col min="10" max="10" width="16.42578125" customWidth="1"/>
    <col min="11" max="11" width="5.28515625" customWidth="1"/>
    <col min="12" max="12" width="12.7109375" customWidth="1"/>
    <col min="13" max="13" width="10.5703125" bestFit="1" customWidth="1"/>
    <col min="14" max="14" width="10.5703125" customWidth="1"/>
    <col min="15" max="15" width="30.5703125" customWidth="1"/>
    <col min="16" max="16" width="12.140625" customWidth="1"/>
    <col min="17" max="17" width="5.5703125" customWidth="1"/>
    <col min="18" max="18" width="12.5703125" customWidth="1"/>
    <col min="19" max="19" width="11.85546875" customWidth="1"/>
    <col min="20" max="20" width="10.5703125" customWidth="1"/>
    <col min="22" max="22" width="5.5703125" customWidth="1"/>
    <col min="23" max="23" width="30.7109375" customWidth="1"/>
  </cols>
  <sheetData>
    <row r="1" spans="1:34" s="85" customFormat="1" x14ac:dyDescent="0.2">
      <c r="F1" s="86"/>
      <c r="G1" s="86"/>
      <c r="H1" s="86"/>
    </row>
    <row r="2" spans="1:34" s="85" customFormat="1" ht="48.75" customHeight="1" x14ac:dyDescent="0.4">
      <c r="F2" s="86"/>
      <c r="G2" s="86"/>
      <c r="H2" s="86"/>
      <c r="L2" s="87" t="s">
        <v>88</v>
      </c>
      <c r="AH2" s="87"/>
    </row>
    <row r="3" spans="1:34" s="85" customFormat="1" ht="27" customHeight="1" x14ac:dyDescent="0.2">
      <c r="F3" s="86"/>
      <c r="G3" s="86"/>
      <c r="H3" s="86"/>
    </row>
    <row r="4" spans="1:34" ht="20.25" x14ac:dyDescent="0.3">
      <c r="A4" s="88"/>
      <c r="B4" s="89"/>
      <c r="C4" s="89"/>
      <c r="D4" s="89"/>
      <c r="E4" s="89"/>
      <c r="F4" s="90"/>
      <c r="G4" s="90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4" ht="23.25" x14ac:dyDescent="0.35">
      <c r="A5" s="88"/>
      <c r="B5" s="89"/>
      <c r="C5" s="89"/>
      <c r="D5" s="94" t="s">
        <v>89</v>
      </c>
      <c r="E5" s="89"/>
      <c r="F5" s="90"/>
      <c r="G5" s="90"/>
      <c r="H5" s="91"/>
      <c r="I5" s="92"/>
      <c r="J5" s="92"/>
      <c r="K5" s="92"/>
      <c r="L5" s="92"/>
      <c r="M5" s="92"/>
      <c r="N5" s="95" t="s">
        <v>90</v>
      </c>
      <c r="O5" s="92"/>
      <c r="P5" s="92"/>
      <c r="Q5" s="92"/>
      <c r="R5" s="92"/>
      <c r="S5" s="92"/>
      <c r="T5" s="92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4" ht="18" customHeight="1" x14ac:dyDescent="0.3">
      <c r="A6" s="88"/>
      <c r="B6" s="89"/>
      <c r="C6" s="89"/>
      <c r="D6" s="89"/>
      <c r="E6" s="89"/>
      <c r="F6" s="90"/>
      <c r="G6" s="90"/>
      <c r="H6" s="91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4" ht="30" x14ac:dyDescent="0.4">
      <c r="A7" s="88"/>
      <c r="B7" s="89"/>
      <c r="C7" s="89"/>
      <c r="D7" s="89"/>
      <c r="E7" s="89"/>
      <c r="F7" s="90"/>
      <c r="G7" s="90"/>
      <c r="H7" s="91"/>
      <c r="I7" s="92"/>
      <c r="J7" s="92"/>
      <c r="K7" s="92"/>
      <c r="L7" s="92"/>
      <c r="M7" s="92"/>
      <c r="N7" s="92"/>
      <c r="O7" s="96"/>
      <c r="P7" s="92"/>
      <c r="Q7" s="92"/>
      <c r="R7" s="92"/>
      <c r="S7" s="92"/>
      <c r="T7" s="92"/>
      <c r="U7" s="93"/>
      <c r="V7" s="97"/>
      <c r="W7" s="93"/>
      <c r="X7" s="93"/>
      <c r="Y7" s="93"/>
      <c r="Z7" s="93"/>
      <c r="AA7" s="93"/>
      <c r="AB7" s="93"/>
      <c r="AC7" s="93"/>
      <c r="AD7" s="93"/>
      <c r="AE7" s="93"/>
    </row>
    <row r="8" spans="1:34" ht="20.25" x14ac:dyDescent="0.3">
      <c r="A8" s="88"/>
      <c r="B8" s="89"/>
      <c r="C8" s="89"/>
      <c r="D8" s="89"/>
      <c r="E8" s="89"/>
      <c r="F8" s="90"/>
      <c r="G8" s="90"/>
      <c r="H8" s="91"/>
      <c r="I8" s="92"/>
      <c r="J8" s="92"/>
      <c r="K8" s="92"/>
      <c r="L8" s="92"/>
      <c r="M8" s="92"/>
      <c r="N8" s="92"/>
      <c r="O8" s="98"/>
      <c r="P8" s="92"/>
      <c r="Q8" s="92"/>
      <c r="R8" s="92"/>
      <c r="S8" s="92"/>
      <c r="T8" s="92"/>
      <c r="U8" s="93"/>
      <c r="V8" s="99"/>
      <c r="W8" s="100"/>
      <c r="X8" s="93"/>
      <c r="Y8" s="93"/>
      <c r="Z8" s="93"/>
      <c r="AA8" s="93"/>
      <c r="AB8" s="93"/>
      <c r="AC8" s="93"/>
      <c r="AD8" s="93"/>
      <c r="AE8" s="93"/>
    </row>
    <row r="9" spans="1:34" ht="20.25" x14ac:dyDescent="0.3">
      <c r="A9" s="88"/>
      <c r="B9" s="89"/>
      <c r="C9" s="89"/>
      <c r="D9" s="89"/>
      <c r="E9" s="89"/>
      <c r="F9" s="90"/>
      <c r="G9" s="90"/>
      <c r="H9" s="91"/>
      <c r="I9" s="92"/>
      <c r="J9" s="92"/>
      <c r="K9" s="92"/>
      <c r="L9" s="92"/>
      <c r="M9" s="92"/>
      <c r="N9" s="92"/>
      <c r="O9" s="101"/>
      <c r="P9" s="92"/>
      <c r="Q9" s="92"/>
      <c r="R9" s="92"/>
      <c r="S9" s="92"/>
      <c r="T9" s="92"/>
      <c r="U9" s="93"/>
      <c r="V9" s="99"/>
      <c r="W9" s="100"/>
      <c r="X9" s="93"/>
      <c r="Y9" s="93"/>
      <c r="Z9" s="93"/>
      <c r="AA9" s="93"/>
      <c r="AB9" s="93"/>
      <c r="AC9" s="93"/>
      <c r="AD9" s="93"/>
      <c r="AE9" s="93"/>
    </row>
    <row r="10" spans="1:34" ht="20.25" x14ac:dyDescent="0.3">
      <c r="A10" s="88"/>
      <c r="B10" s="89"/>
      <c r="C10" s="89"/>
      <c r="D10" s="89"/>
      <c r="E10" s="89"/>
      <c r="F10" s="90"/>
      <c r="G10" s="90"/>
      <c r="H10" s="91"/>
      <c r="I10" s="92"/>
      <c r="J10" s="92"/>
      <c r="K10" s="92"/>
      <c r="L10" s="92"/>
      <c r="M10" s="92"/>
      <c r="N10" s="92"/>
      <c r="O10" s="101"/>
      <c r="P10" s="92"/>
      <c r="Q10" s="92"/>
      <c r="R10" s="92"/>
      <c r="S10" s="92"/>
      <c r="T10" s="92"/>
      <c r="U10" s="93"/>
      <c r="V10" s="99"/>
      <c r="W10" s="100"/>
      <c r="X10" s="93"/>
      <c r="Y10" s="93"/>
      <c r="Z10" s="93"/>
      <c r="AA10" s="93"/>
      <c r="AB10" s="93"/>
      <c r="AC10" s="93"/>
      <c r="AD10" s="93"/>
      <c r="AE10" s="93"/>
    </row>
    <row r="11" spans="1:34" ht="20.25" x14ac:dyDescent="0.3">
      <c r="A11" s="88"/>
      <c r="B11" s="89"/>
      <c r="C11" s="89"/>
      <c r="D11" s="89"/>
      <c r="E11" s="89"/>
      <c r="F11" s="90"/>
      <c r="G11" s="90"/>
      <c r="H11" s="91"/>
      <c r="I11" s="92"/>
      <c r="J11" s="92"/>
      <c r="K11" s="92"/>
      <c r="L11" s="92"/>
      <c r="M11" s="92"/>
      <c r="N11" s="92"/>
      <c r="O11" s="101"/>
      <c r="P11" s="92"/>
      <c r="Q11" s="92"/>
      <c r="R11" s="92"/>
      <c r="S11" s="92"/>
      <c r="T11" s="92"/>
      <c r="U11" s="93"/>
      <c r="V11" s="99"/>
      <c r="W11" s="100"/>
      <c r="X11" s="93"/>
      <c r="Y11" s="93"/>
      <c r="Z11" s="93"/>
      <c r="AA11" s="93"/>
      <c r="AB11" s="93"/>
      <c r="AC11" s="93"/>
      <c r="AD11" s="93"/>
      <c r="AE11" s="93"/>
    </row>
    <row r="12" spans="1:34" ht="20.25" x14ac:dyDescent="0.3">
      <c r="A12" s="88"/>
      <c r="B12" s="89"/>
      <c r="C12" s="89"/>
      <c r="D12" s="89"/>
      <c r="E12" s="89"/>
      <c r="F12" s="90"/>
      <c r="G12" s="90"/>
      <c r="H12" s="91"/>
      <c r="I12" s="92"/>
      <c r="J12" s="92"/>
      <c r="K12" s="92"/>
      <c r="L12" s="92"/>
      <c r="M12" s="92"/>
      <c r="N12" s="92"/>
      <c r="O12" s="101"/>
      <c r="P12" s="92"/>
      <c r="Q12" s="92"/>
      <c r="R12" s="92"/>
      <c r="S12" s="92"/>
      <c r="T12" s="92"/>
      <c r="U12" s="93"/>
      <c r="V12" s="99"/>
      <c r="W12" s="100"/>
      <c r="X12" s="93"/>
      <c r="Y12" s="93"/>
      <c r="Z12" s="93"/>
      <c r="AA12" s="93"/>
      <c r="AB12" s="93"/>
      <c r="AC12" s="93"/>
      <c r="AD12" s="93"/>
      <c r="AE12" s="93"/>
    </row>
    <row r="13" spans="1:34" ht="20.25" x14ac:dyDescent="0.3">
      <c r="A13" s="88"/>
      <c r="B13" s="89"/>
      <c r="C13" s="89"/>
      <c r="D13" s="89"/>
      <c r="E13" s="89"/>
      <c r="F13" s="90"/>
      <c r="G13" s="90"/>
      <c r="H13" s="91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3"/>
      <c r="V13" s="99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4" ht="20.25" x14ac:dyDescent="0.3">
      <c r="A14" s="88"/>
      <c r="B14" s="89"/>
      <c r="C14" s="89"/>
      <c r="D14" s="89"/>
      <c r="E14" s="89"/>
      <c r="F14" s="90"/>
      <c r="G14" s="90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3"/>
      <c r="V14" s="99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4" ht="20.25" x14ac:dyDescent="0.3">
      <c r="A15" s="88"/>
      <c r="B15" s="89"/>
      <c r="C15" s="89"/>
      <c r="D15" s="89"/>
      <c r="E15" s="89"/>
      <c r="F15" s="90"/>
      <c r="G15" s="90"/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4" ht="20.25" x14ac:dyDescent="0.3">
      <c r="A16" s="88"/>
      <c r="B16" s="89"/>
      <c r="C16" s="89"/>
      <c r="D16" s="89"/>
      <c r="E16" s="89"/>
      <c r="F16" s="90"/>
      <c r="G16" s="90"/>
      <c r="H16" s="9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</row>
    <row r="17" spans="1:31" ht="20.25" x14ac:dyDescent="0.3">
      <c r="A17" s="88"/>
      <c r="B17" s="89"/>
      <c r="C17" s="89"/>
      <c r="D17" s="89"/>
      <c r="E17" s="89"/>
      <c r="F17" s="90"/>
      <c r="G17" s="90"/>
      <c r="H17" s="91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</row>
    <row r="18" spans="1:31" ht="20.25" x14ac:dyDescent="0.3">
      <c r="A18" s="88"/>
      <c r="B18" s="89"/>
      <c r="C18" s="89"/>
      <c r="D18" s="89"/>
      <c r="E18" s="89"/>
      <c r="F18" s="90"/>
      <c r="G18" s="90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20.25" x14ac:dyDescent="0.3">
      <c r="A19" s="88"/>
      <c r="B19" s="89"/>
      <c r="C19" s="89"/>
      <c r="D19" s="89"/>
      <c r="E19" s="89"/>
      <c r="F19" s="90"/>
      <c r="G19" s="90"/>
      <c r="H19" s="91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20.25" x14ac:dyDescent="0.3">
      <c r="A20" s="88"/>
      <c r="B20" s="89"/>
      <c r="C20" s="89"/>
      <c r="D20" s="89"/>
      <c r="E20" s="89"/>
      <c r="F20" s="90"/>
      <c r="G20" s="90"/>
      <c r="H20" s="91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20.25" x14ac:dyDescent="0.3">
      <c r="A21" s="88"/>
      <c r="B21" s="89"/>
      <c r="C21" s="89"/>
      <c r="D21" s="89"/>
      <c r="E21" s="89"/>
      <c r="F21" s="90"/>
      <c r="G21" s="90"/>
      <c r="H21" s="91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s="1" customFormat="1" ht="30" x14ac:dyDescent="0.4">
      <c r="A22" s="88"/>
      <c r="B22" s="89"/>
      <c r="C22" s="89"/>
      <c r="D22" s="89"/>
      <c r="E22" s="89"/>
      <c r="F22" s="90"/>
      <c r="G22" s="90"/>
      <c r="H22" s="91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  <c r="V22" s="93"/>
      <c r="W22" s="97" t="s">
        <v>91</v>
      </c>
      <c r="X22" s="93"/>
      <c r="Y22" s="93"/>
      <c r="Z22" s="93"/>
      <c r="AA22" s="93"/>
      <c r="AB22" s="93"/>
      <c r="AC22" s="93"/>
      <c r="AD22" s="93"/>
      <c r="AE22" s="93"/>
    </row>
    <row r="23" spans="1:31" s="1" customFormat="1" ht="20.25" x14ac:dyDescent="0.3">
      <c r="A23" s="88"/>
      <c r="B23" s="89"/>
      <c r="C23" s="89"/>
      <c r="D23" s="102"/>
      <c r="E23" s="89"/>
      <c r="F23" s="90"/>
      <c r="G23" s="90"/>
      <c r="H23" s="91"/>
      <c r="I23" s="92"/>
      <c r="J23" s="103"/>
      <c r="K23" s="103"/>
      <c r="L23" s="92"/>
      <c r="M23" s="92"/>
      <c r="N23" s="92"/>
      <c r="O23" s="92"/>
      <c r="P23" s="103"/>
      <c r="Q23" s="103"/>
      <c r="R23" s="92"/>
      <c r="S23" s="92"/>
      <c r="T23" s="92"/>
      <c r="U23" s="93"/>
      <c r="V23" s="100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s="1" customFormat="1" ht="16.5" customHeight="1" x14ac:dyDescent="0.4">
      <c r="A24" s="88"/>
      <c r="B24" s="89"/>
      <c r="C24" s="89"/>
      <c r="D24" s="104"/>
      <c r="E24" s="105"/>
      <c r="F24" s="90"/>
      <c r="G24" s="90"/>
      <c r="H24" s="91"/>
      <c r="I24" s="106"/>
      <c r="J24" s="107"/>
      <c r="K24" s="107"/>
      <c r="L24" s="108"/>
      <c r="M24" s="92"/>
      <c r="N24" s="92"/>
      <c r="O24" s="106"/>
      <c r="P24" s="107"/>
      <c r="Q24" s="107"/>
      <c r="R24" s="108"/>
      <c r="S24" s="92"/>
      <c r="T24" s="92"/>
      <c r="U24" s="93"/>
      <c r="V24" s="97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1" s="1" customFormat="1" ht="20.25" hidden="1" customHeight="1" x14ac:dyDescent="0.3">
      <c r="A25" s="88"/>
      <c r="B25" s="89"/>
      <c r="C25" s="89"/>
      <c r="D25" s="89"/>
      <c r="E25" s="89"/>
      <c r="F25" s="90"/>
      <c r="G25" s="90"/>
      <c r="H25" s="91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1" s="1" customFormat="1" ht="20.25" hidden="1" customHeight="1" x14ac:dyDescent="0.3">
      <c r="A26" s="88"/>
      <c r="B26" s="89"/>
      <c r="C26" s="89"/>
      <c r="D26" s="89"/>
      <c r="E26" s="89"/>
      <c r="F26" s="90"/>
      <c r="G26" s="90"/>
      <c r="H26" s="91"/>
      <c r="I26" s="250" t="s">
        <v>92</v>
      </c>
      <c r="J26" s="251"/>
      <c r="K26" s="251"/>
      <c r="L26" s="251"/>
      <c r="M26" s="251"/>
      <c r="N26" s="91"/>
      <c r="O26" s="250" t="s">
        <v>92</v>
      </c>
      <c r="P26" s="251"/>
      <c r="Q26" s="251"/>
      <c r="R26" s="251"/>
      <c r="S26" s="251"/>
      <c r="T26" s="91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1" s="1" customFormat="1" ht="20.25" hidden="1" customHeight="1" x14ac:dyDescent="0.3">
      <c r="A27" s="88"/>
      <c r="B27" s="89"/>
      <c r="C27" s="89"/>
      <c r="D27" s="89"/>
      <c r="E27" s="89"/>
      <c r="F27" s="90"/>
      <c r="G27" s="90"/>
      <c r="H27" s="91"/>
      <c r="I27" s="243" t="s">
        <v>93</v>
      </c>
      <c r="J27" s="244"/>
      <c r="K27" s="244"/>
      <c r="L27" s="244"/>
      <c r="M27" s="244"/>
      <c r="N27" s="109"/>
      <c r="O27" s="243" t="s">
        <v>93</v>
      </c>
      <c r="P27" s="244"/>
      <c r="Q27" s="244"/>
      <c r="R27" s="244"/>
      <c r="S27" s="244"/>
      <c r="T27" s="109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1" customFormat="1" ht="20.25" hidden="1" customHeight="1" x14ac:dyDescent="0.3">
      <c r="A28" s="88"/>
      <c r="B28" s="89"/>
      <c r="C28" s="89"/>
      <c r="D28" s="89"/>
      <c r="E28" s="89"/>
      <c r="F28" s="90"/>
      <c r="G28" s="90"/>
      <c r="H28" s="91"/>
      <c r="I28" s="243" t="s">
        <v>94</v>
      </c>
      <c r="J28" s="244"/>
      <c r="K28" s="244"/>
      <c r="L28" s="244"/>
      <c r="M28" s="244"/>
      <c r="N28" s="109"/>
      <c r="O28" s="243" t="s">
        <v>94</v>
      </c>
      <c r="P28" s="244"/>
      <c r="Q28" s="244"/>
      <c r="R28" s="244"/>
      <c r="S28" s="244"/>
      <c r="T28" s="109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s="1" customFormat="1" ht="20.25" hidden="1" customHeight="1" x14ac:dyDescent="0.3">
      <c r="A29" s="88"/>
      <c r="B29" s="89"/>
      <c r="C29" s="89"/>
      <c r="D29" s="89"/>
      <c r="E29" s="89"/>
      <c r="F29" s="90"/>
      <c r="G29" s="90"/>
      <c r="H29" s="91"/>
      <c r="I29" s="243" t="s">
        <v>95</v>
      </c>
      <c r="J29" s="244"/>
      <c r="K29" s="244"/>
      <c r="L29" s="244"/>
      <c r="M29" s="244"/>
      <c r="N29" s="109"/>
      <c r="O29" s="243" t="s">
        <v>95</v>
      </c>
      <c r="P29" s="244"/>
      <c r="Q29" s="244"/>
      <c r="R29" s="244"/>
      <c r="S29" s="244"/>
      <c r="T29" s="109"/>
      <c r="U29" s="93"/>
      <c r="V29" s="93"/>
      <c r="W29" s="110" t="s">
        <v>96</v>
      </c>
      <c r="X29" s="93"/>
      <c r="Y29" s="93"/>
      <c r="Z29" s="93"/>
      <c r="AA29" s="93"/>
      <c r="AB29" s="93"/>
      <c r="AC29" s="93"/>
      <c r="AD29" s="93"/>
      <c r="AE29" s="93"/>
    </row>
    <row r="30" spans="1:31" s="1" customFormat="1" ht="20.25" hidden="1" customHeight="1" x14ac:dyDescent="0.3">
      <c r="A30" s="88"/>
      <c r="B30" s="89"/>
      <c r="C30" s="89"/>
      <c r="D30" s="89"/>
      <c r="E30" s="89"/>
      <c r="F30" s="90"/>
      <c r="G30" s="90"/>
      <c r="H30" s="91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3"/>
      <c r="V30" s="93"/>
      <c r="W30" s="110" t="s">
        <v>97</v>
      </c>
      <c r="X30" s="93"/>
      <c r="Y30" s="93"/>
      <c r="Z30" s="93"/>
      <c r="AA30" s="93"/>
      <c r="AB30" s="93"/>
      <c r="AC30" s="93"/>
      <c r="AD30" s="93"/>
      <c r="AE30" s="93"/>
    </row>
    <row r="31" spans="1:31" s="1" customFormat="1" ht="45" customHeight="1" x14ac:dyDescent="0.3">
      <c r="A31" s="88"/>
      <c r="B31" s="89"/>
      <c r="C31" s="89"/>
      <c r="D31" s="89"/>
      <c r="E31" s="89"/>
      <c r="F31" s="90"/>
      <c r="G31" s="90"/>
      <c r="H31" s="91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  <c r="V31" s="93"/>
      <c r="W31" s="245" t="s">
        <v>98</v>
      </c>
      <c r="X31" s="246"/>
      <c r="Y31" s="246"/>
      <c r="Z31" s="246"/>
      <c r="AA31" s="246"/>
      <c r="AB31" s="246"/>
      <c r="AC31" s="246"/>
      <c r="AD31" s="246"/>
      <c r="AE31" s="93"/>
    </row>
    <row r="32" spans="1:31" s="1" customFormat="1" ht="20.25" x14ac:dyDescent="0.3">
      <c r="A32" s="89"/>
      <c r="B32" s="111"/>
      <c r="C32" s="111"/>
      <c r="D32" s="112"/>
      <c r="E32" s="112"/>
      <c r="F32" s="113"/>
      <c r="G32" s="113"/>
      <c r="H32" s="114"/>
      <c r="I32" s="115"/>
      <c r="J32" s="116"/>
      <c r="K32" s="116"/>
      <c r="L32" s="116"/>
      <c r="M32" s="116"/>
      <c r="N32" s="116"/>
      <c r="O32" s="115"/>
      <c r="P32" s="116"/>
      <c r="Q32" s="116"/>
      <c r="R32" s="116"/>
      <c r="S32" s="116"/>
      <c r="T32" s="116"/>
      <c r="U32" s="93"/>
      <c r="V32" s="99"/>
      <c r="W32" s="117"/>
      <c r="X32" s="117"/>
      <c r="Y32" s="117"/>
      <c r="Z32" s="117"/>
      <c r="AA32" s="117"/>
      <c r="AB32" s="117"/>
      <c r="AC32" s="117"/>
      <c r="AD32" s="118"/>
      <c r="AE32" s="118"/>
    </row>
    <row r="33" spans="1:31" s="1" customFormat="1" ht="24" customHeight="1" x14ac:dyDescent="0.2">
      <c r="A33" s="89"/>
      <c r="B33" s="111"/>
      <c r="C33" s="111"/>
      <c r="D33" s="112"/>
      <c r="E33" s="112"/>
      <c r="F33" s="113"/>
      <c r="G33" s="113"/>
      <c r="H33" s="114"/>
      <c r="I33" s="115"/>
      <c r="J33" s="116"/>
      <c r="K33" s="116"/>
      <c r="L33" s="116"/>
      <c r="M33" s="116"/>
      <c r="N33" s="116"/>
      <c r="O33" s="115"/>
      <c r="P33" s="116"/>
      <c r="Q33" s="116"/>
      <c r="R33" s="116"/>
      <c r="S33" s="116"/>
      <c r="T33" s="116"/>
      <c r="U33" s="93"/>
      <c r="V33" s="93"/>
      <c r="W33" s="247" t="s">
        <v>99</v>
      </c>
      <c r="X33" s="248"/>
      <c r="Y33" s="248"/>
      <c r="Z33" s="248"/>
      <c r="AA33" s="248"/>
      <c r="AB33" s="248"/>
      <c r="AC33" s="248"/>
      <c r="AD33" s="118"/>
      <c r="AE33" s="118"/>
    </row>
    <row r="34" spans="1:31" s="1" customFormat="1" x14ac:dyDescent="0.2">
      <c r="A34" s="89"/>
      <c r="B34" s="111"/>
      <c r="C34" s="111"/>
      <c r="D34" s="112"/>
      <c r="E34" s="112"/>
      <c r="F34" s="113"/>
      <c r="G34" s="113"/>
      <c r="H34" s="114"/>
      <c r="I34" s="115"/>
      <c r="J34" s="116"/>
      <c r="K34" s="116"/>
      <c r="L34" s="116"/>
      <c r="M34" s="116"/>
      <c r="N34" s="116"/>
      <c r="O34" s="115"/>
      <c r="P34" s="116"/>
      <c r="Q34" s="116"/>
      <c r="R34" s="116"/>
      <c r="S34" s="116"/>
      <c r="T34" s="116"/>
      <c r="U34" s="93"/>
      <c r="V34" s="93"/>
      <c r="W34" s="248"/>
      <c r="X34" s="248"/>
      <c r="Y34" s="248"/>
      <c r="Z34" s="248"/>
      <c r="AA34" s="248"/>
      <c r="AB34" s="248"/>
      <c r="AC34" s="248"/>
      <c r="AD34" s="118"/>
      <c r="AE34" s="118"/>
    </row>
    <row r="35" spans="1:31" s="1" customFormat="1" ht="65.25" customHeight="1" x14ac:dyDescent="0.2">
      <c r="A35" s="89"/>
      <c r="B35" s="111"/>
      <c r="C35" s="111"/>
      <c r="D35" s="112"/>
      <c r="E35" s="112"/>
      <c r="F35" s="113"/>
      <c r="G35" s="113"/>
      <c r="H35" s="114"/>
      <c r="I35" s="115"/>
      <c r="J35" s="116"/>
      <c r="K35" s="116"/>
      <c r="L35" s="116"/>
      <c r="M35" s="116"/>
      <c r="N35" s="116"/>
      <c r="O35" s="115"/>
      <c r="P35" s="116"/>
      <c r="Q35" s="116"/>
      <c r="R35" s="116"/>
      <c r="S35" s="116"/>
      <c r="T35" s="116"/>
      <c r="U35" s="93"/>
      <c r="V35" s="93"/>
      <c r="W35" s="248"/>
      <c r="X35" s="248"/>
      <c r="Y35" s="248"/>
      <c r="Z35" s="248"/>
      <c r="AA35" s="248"/>
      <c r="AB35" s="248"/>
      <c r="AC35" s="248"/>
      <c r="AD35" s="118"/>
      <c r="AE35" s="118"/>
    </row>
    <row r="36" spans="1:31" ht="20.25" x14ac:dyDescent="0.3">
      <c r="A36" s="88"/>
      <c r="B36" s="89"/>
      <c r="C36" s="89"/>
      <c r="D36" s="89"/>
      <c r="E36" s="89"/>
      <c r="F36" s="90"/>
      <c r="G36" s="90"/>
      <c r="H36" s="9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93"/>
      <c r="W36" s="245" t="s">
        <v>100</v>
      </c>
      <c r="X36" s="246"/>
      <c r="Y36" s="246"/>
      <c r="Z36" s="246"/>
      <c r="AA36" s="246"/>
      <c r="AB36" s="246"/>
      <c r="AC36" s="246"/>
      <c r="AD36" s="119"/>
      <c r="AE36" s="118"/>
    </row>
    <row r="37" spans="1:31" ht="46.5" customHeight="1" x14ac:dyDescent="0.3">
      <c r="A37" s="88"/>
      <c r="B37" s="89"/>
      <c r="C37" s="89"/>
      <c r="D37" s="89"/>
      <c r="E37" s="89"/>
      <c r="F37" s="90"/>
      <c r="G37" s="90"/>
      <c r="H37" s="91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93"/>
      <c r="W37" s="246"/>
      <c r="X37" s="246"/>
      <c r="Y37" s="246"/>
      <c r="Z37" s="246"/>
      <c r="AA37" s="246"/>
      <c r="AB37" s="246"/>
      <c r="AC37" s="246"/>
      <c r="AD37" s="119"/>
      <c r="AE37" s="118"/>
    </row>
    <row r="38" spans="1:31" ht="20.25" x14ac:dyDescent="0.3">
      <c r="A38" s="88"/>
      <c r="B38" s="89"/>
      <c r="C38" s="89"/>
      <c r="D38" s="89"/>
      <c r="E38" s="89"/>
      <c r="F38" s="90"/>
      <c r="G38" s="90"/>
      <c r="H38" s="91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93"/>
      <c r="W38" s="119"/>
      <c r="X38" s="119"/>
      <c r="Y38" s="119"/>
      <c r="Z38" s="119"/>
      <c r="AA38" s="119"/>
      <c r="AB38" s="119"/>
      <c r="AC38" s="119"/>
      <c r="AD38" s="119"/>
      <c r="AE38" s="118"/>
    </row>
    <row r="39" spans="1:31" ht="61.5" customHeight="1" x14ac:dyDescent="0.3">
      <c r="A39" s="88"/>
      <c r="B39" s="89"/>
      <c r="C39" s="89"/>
      <c r="D39" s="89"/>
      <c r="E39" s="89"/>
      <c r="F39" s="90"/>
      <c r="G39" s="90"/>
      <c r="H39" s="91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93"/>
      <c r="W39" s="247" t="s">
        <v>101</v>
      </c>
      <c r="X39" s="249"/>
      <c r="Y39" s="249"/>
      <c r="Z39" s="249"/>
      <c r="AA39" s="249"/>
      <c r="AB39" s="249"/>
      <c r="AC39" s="249"/>
      <c r="AD39" s="119"/>
      <c r="AE39" s="118"/>
    </row>
    <row r="40" spans="1:31" ht="20.25" x14ac:dyDescent="0.3">
      <c r="A40" s="88"/>
      <c r="B40" s="89"/>
      <c r="C40" s="89"/>
      <c r="D40" s="89"/>
      <c r="E40" s="89"/>
      <c r="F40" s="90"/>
      <c r="G40" s="90"/>
      <c r="H40" s="91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93"/>
      <c r="W40" s="120"/>
      <c r="X40" s="120"/>
      <c r="Y40" s="120"/>
      <c r="Z40" s="120"/>
      <c r="AA40" s="120"/>
      <c r="AB40" s="120"/>
      <c r="AC40" s="120"/>
      <c r="AD40" s="118"/>
      <c r="AE40" s="118"/>
    </row>
    <row r="41" spans="1:31" ht="14.25" customHeight="1" x14ac:dyDescent="0.3">
      <c r="A41" s="89"/>
      <c r="B41" s="111"/>
      <c r="C41" s="111"/>
      <c r="D41" s="112"/>
      <c r="E41" s="112"/>
      <c r="F41" s="113"/>
      <c r="G41" s="113"/>
      <c r="H41" s="114"/>
      <c r="I41" s="115"/>
      <c r="J41" s="116"/>
      <c r="K41" s="116"/>
      <c r="L41" s="116"/>
      <c r="M41" s="116"/>
      <c r="N41" s="116"/>
      <c r="O41" s="115"/>
      <c r="P41" s="116"/>
      <c r="Q41" s="116"/>
      <c r="R41" s="116"/>
      <c r="S41" s="116"/>
      <c r="T41" s="116"/>
      <c r="U41" s="93"/>
      <c r="V41" s="93"/>
      <c r="W41" s="118"/>
      <c r="X41" s="117"/>
      <c r="Y41" s="117"/>
      <c r="Z41" s="117"/>
      <c r="AA41" s="117"/>
      <c r="AB41" s="117"/>
      <c r="AC41" s="117"/>
      <c r="AD41" s="117"/>
      <c r="AE41" s="117"/>
    </row>
    <row r="42" spans="1:31" ht="20.25" x14ac:dyDescent="0.3">
      <c r="A42" s="89"/>
      <c r="B42" s="111" t="s">
        <v>102</v>
      </c>
      <c r="C42" s="112"/>
      <c r="D42" s="112"/>
      <c r="E42" s="112"/>
      <c r="F42" s="113"/>
      <c r="G42" s="113"/>
      <c r="H42" s="114"/>
      <c r="I42" s="115" t="s">
        <v>103</v>
      </c>
      <c r="J42" s="116"/>
      <c r="K42" s="116"/>
      <c r="L42" s="116"/>
      <c r="M42" s="116"/>
      <c r="N42" s="116"/>
      <c r="O42" s="115" t="s">
        <v>104</v>
      </c>
      <c r="P42" s="116"/>
      <c r="Q42" s="116"/>
      <c r="R42" s="116"/>
      <c r="S42" s="116"/>
      <c r="T42" s="116"/>
      <c r="U42" s="93"/>
      <c r="V42" s="93"/>
      <c r="W42" s="118"/>
      <c r="X42" s="119"/>
      <c r="Y42" s="119"/>
      <c r="Z42" s="119"/>
      <c r="AA42" s="119"/>
      <c r="AB42" s="119"/>
      <c r="AC42" s="119"/>
      <c r="AD42" s="119"/>
      <c r="AE42" s="118"/>
    </row>
    <row r="43" spans="1:31" ht="14.25" customHeight="1" x14ac:dyDescent="0.3">
      <c r="A43" s="89"/>
      <c r="B43" s="89"/>
      <c r="C43" s="121"/>
      <c r="D43" s="122"/>
      <c r="E43" s="112"/>
      <c r="F43" s="113"/>
      <c r="G43" s="113"/>
      <c r="H43" s="114"/>
      <c r="I43" s="116"/>
      <c r="J43" s="116"/>
      <c r="K43" s="116"/>
      <c r="L43" s="116"/>
      <c r="M43" s="116"/>
      <c r="N43" s="116"/>
      <c r="O43" s="115"/>
      <c r="P43" s="116"/>
      <c r="Q43" s="116"/>
      <c r="R43" s="116"/>
      <c r="S43" s="116"/>
      <c r="T43" s="116"/>
      <c r="U43" s="93"/>
      <c r="V43" s="93"/>
      <c r="W43" s="118"/>
      <c r="X43" s="117"/>
      <c r="Y43" s="117"/>
      <c r="Z43" s="117"/>
      <c r="AA43" s="117"/>
      <c r="AB43" s="117"/>
      <c r="AC43" s="117"/>
      <c r="AD43" s="117"/>
      <c r="AE43" s="118"/>
    </row>
    <row r="44" spans="1:31" x14ac:dyDescent="0.2">
      <c r="A44" s="89"/>
      <c r="B44" s="9" t="s">
        <v>105</v>
      </c>
      <c r="C44" s="123"/>
      <c r="D44" s="124" t="s">
        <v>106</v>
      </c>
      <c r="E44" s="112"/>
      <c r="F44" s="113"/>
      <c r="G44" s="113"/>
      <c r="H44" s="114"/>
      <c r="I44" s="9" t="str">
        <f>B44</f>
        <v>Type of hanging</v>
      </c>
      <c r="J44" s="125" t="s">
        <v>107</v>
      </c>
      <c r="K44" s="126"/>
      <c r="L44" s="116"/>
      <c r="M44" s="116"/>
      <c r="N44" s="116"/>
      <c r="O44" s="9" t="str">
        <f t="shared" ref="O44:O57" si="0">I44</f>
        <v>Type of hanging</v>
      </c>
      <c r="P44" s="125" t="s">
        <v>107</v>
      </c>
      <c r="Q44" s="116"/>
      <c r="R44" s="116"/>
      <c r="S44" s="116"/>
      <c r="T44" s="116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 x14ac:dyDescent="0.2">
      <c r="A45" s="89"/>
      <c r="B45" s="10" t="s">
        <v>108</v>
      </c>
      <c r="C45" s="127"/>
      <c r="D45" s="128">
        <v>1</v>
      </c>
      <c r="E45" s="112"/>
      <c r="F45" s="113"/>
      <c r="G45" s="113"/>
      <c r="H45" s="114"/>
      <c r="I45" s="10" t="str">
        <f>B45</f>
        <v>Line (monorail)</v>
      </c>
      <c r="J45" s="128">
        <f>D45</f>
        <v>1</v>
      </c>
      <c r="K45" s="126"/>
      <c r="L45" s="116"/>
      <c r="M45" s="116"/>
      <c r="N45" s="116"/>
      <c r="O45" s="10" t="str">
        <f t="shared" si="0"/>
        <v>Line (monorail)</v>
      </c>
      <c r="P45" s="128">
        <f>J45</f>
        <v>1</v>
      </c>
      <c r="Q45" s="116"/>
      <c r="R45" s="116"/>
      <c r="S45" s="116"/>
      <c r="T45" s="116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 x14ac:dyDescent="0.2">
      <c r="A46" s="89"/>
      <c r="B46" s="10" t="s">
        <v>109</v>
      </c>
      <c r="C46" s="127"/>
      <c r="D46" s="128">
        <v>1</v>
      </c>
      <c r="E46" s="112"/>
      <c r="F46" s="113"/>
      <c r="G46" s="113"/>
      <c r="H46" s="114"/>
      <c r="I46" s="10" t="str">
        <f>B46</f>
        <v>Line speed m/min (actual)</v>
      </c>
      <c r="J46" s="11">
        <v>2.5</v>
      </c>
      <c r="K46" s="116"/>
      <c r="L46" s="116"/>
      <c r="M46" s="116"/>
      <c r="N46" s="116"/>
      <c r="O46" s="10" t="str">
        <f>B46</f>
        <v>Line speed m/min (actual)</v>
      </c>
      <c r="P46" s="11">
        <v>1</v>
      </c>
      <c r="Q46" s="116"/>
      <c r="R46" s="116"/>
      <c r="S46" s="116"/>
      <c r="T46" s="116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 x14ac:dyDescent="0.2">
      <c r="A47" s="89"/>
      <c r="B47" s="10" t="s">
        <v>110</v>
      </c>
      <c r="C47" s="127"/>
      <c r="D47" s="128" t="s">
        <v>111</v>
      </c>
      <c r="E47" s="112"/>
      <c r="F47" s="113"/>
      <c r="G47" s="113"/>
      <c r="H47" s="114"/>
      <c r="I47" s="10" t="str">
        <f>B47</f>
        <v>Size painted plate (W x H) mm</v>
      </c>
      <c r="J47" s="128" t="str">
        <f>D47</f>
        <v>25 x 75</v>
      </c>
      <c r="K47" s="116"/>
      <c r="L47" s="116"/>
      <c r="M47" s="116"/>
      <c r="N47" s="116"/>
      <c r="O47" s="10" t="str">
        <f>B47</f>
        <v>Size painted plate (W x H) mm</v>
      </c>
      <c r="P47" s="128" t="str">
        <f>D47</f>
        <v>25 x 75</v>
      </c>
      <c r="Q47" s="116"/>
      <c r="R47" s="116"/>
      <c r="S47" s="116"/>
      <c r="T47" s="116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x14ac:dyDescent="0.2">
      <c r="A48" s="89"/>
      <c r="B48" s="10" t="s">
        <v>112</v>
      </c>
      <c r="C48" s="127"/>
      <c r="D48" s="129">
        <f>F102</f>
        <v>55.55555555555555</v>
      </c>
      <c r="E48" s="112"/>
      <c r="F48" s="113"/>
      <c r="G48" s="113"/>
      <c r="H48" s="114"/>
      <c r="I48" s="10" t="s">
        <v>112</v>
      </c>
      <c r="J48" s="11">
        <f>M100</f>
        <v>170</v>
      </c>
      <c r="K48" s="116"/>
      <c r="L48" s="116"/>
      <c r="M48" s="116"/>
      <c r="N48" s="116"/>
      <c r="O48" s="10" t="str">
        <f>I48</f>
        <v>Products per convayor meter</v>
      </c>
      <c r="P48" s="11">
        <f>S100</f>
        <v>160</v>
      </c>
      <c r="Q48" s="116"/>
      <c r="R48" s="116"/>
      <c r="S48" s="116"/>
      <c r="T48" s="116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x14ac:dyDescent="0.2">
      <c r="A49" s="89"/>
      <c r="B49" s="10"/>
      <c r="C49" s="127"/>
      <c r="D49" s="128"/>
      <c r="E49" s="112"/>
      <c r="F49" s="113"/>
      <c r="G49" s="113"/>
      <c r="H49" s="114"/>
      <c r="I49" s="10" t="s">
        <v>113</v>
      </c>
      <c r="J49" s="128" t="s">
        <v>114</v>
      </c>
      <c r="K49" s="126"/>
      <c r="L49" s="116"/>
      <c r="M49" s="116"/>
      <c r="N49" s="116"/>
      <c r="O49" s="10" t="str">
        <f>I49</f>
        <v>Prehanging off-line</v>
      </c>
      <c r="P49" s="128" t="s">
        <v>115</v>
      </c>
      <c r="Q49" s="116"/>
      <c r="R49" s="116"/>
      <c r="S49" s="116"/>
      <c r="T49" s="116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x14ac:dyDescent="0.2">
      <c r="A50" s="89"/>
      <c r="B50" s="10" t="s">
        <v>116</v>
      </c>
      <c r="C50" s="127"/>
      <c r="D50" s="130">
        <v>10000</v>
      </c>
      <c r="E50" s="111"/>
      <c r="F50" s="113"/>
      <c r="G50" s="113"/>
      <c r="H50" s="114"/>
      <c r="I50" s="10" t="str">
        <f t="shared" ref="I50:I57" si="1">B50</f>
        <v>Batch</v>
      </c>
      <c r="J50" s="130">
        <f>D50</f>
        <v>10000</v>
      </c>
      <c r="K50" s="131"/>
      <c r="L50" s="116"/>
      <c r="M50" s="116"/>
      <c r="N50" s="116"/>
      <c r="O50" s="10" t="str">
        <f t="shared" si="0"/>
        <v>Batch</v>
      </c>
      <c r="P50" s="130">
        <f>J50</f>
        <v>10000</v>
      </c>
      <c r="Q50" s="116"/>
      <c r="R50" s="116"/>
      <c r="S50" s="116"/>
      <c r="T50" s="116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x14ac:dyDescent="0.2">
      <c r="A51" s="89"/>
      <c r="B51" s="10" t="s">
        <v>117</v>
      </c>
      <c r="C51" s="127"/>
      <c r="D51" s="132">
        <v>3090</v>
      </c>
      <c r="E51" s="111"/>
      <c r="F51" s="113"/>
      <c r="G51" s="113"/>
      <c r="H51" s="114"/>
      <c r="I51" s="10" t="str">
        <f t="shared" si="1"/>
        <v>Coating Capacity qty / h</v>
      </c>
      <c r="J51" s="133">
        <f>M101</f>
        <v>25500</v>
      </c>
      <c r="K51" s="131"/>
      <c r="L51" s="116"/>
      <c r="M51" s="116"/>
      <c r="N51" s="116"/>
      <c r="O51" s="10" t="str">
        <f t="shared" si="0"/>
        <v>Coating Capacity qty / h</v>
      </c>
      <c r="P51" s="133">
        <f>S101</f>
        <v>9600</v>
      </c>
      <c r="Q51" s="116"/>
      <c r="R51" s="116"/>
      <c r="S51" s="116"/>
      <c r="T51" s="116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x14ac:dyDescent="0.2">
      <c r="A52" s="89"/>
      <c r="B52" s="10" t="s">
        <v>118</v>
      </c>
      <c r="C52" s="127"/>
      <c r="D52" s="134">
        <f>F130</f>
        <v>4.3042071197411005</v>
      </c>
      <c r="E52" s="111"/>
      <c r="F52" s="113"/>
      <c r="G52" s="113"/>
      <c r="H52" s="114"/>
      <c r="I52" s="10" t="s">
        <v>119</v>
      </c>
      <c r="J52" s="135">
        <f>M129+M130+M131</f>
        <v>1.4569716775599129</v>
      </c>
      <c r="K52" s="131"/>
      <c r="L52" s="116"/>
      <c r="M52" s="116"/>
      <c r="N52" s="116"/>
      <c r="O52" s="10" t="str">
        <f>B52</f>
        <v>Batch process time (h)</v>
      </c>
      <c r="P52" s="135">
        <f>S129</f>
        <v>1.3194444444444446</v>
      </c>
      <c r="Q52" s="116"/>
      <c r="R52" s="116"/>
      <c r="S52" s="116"/>
      <c r="T52" s="116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x14ac:dyDescent="0.2">
      <c r="A53" s="89"/>
      <c r="B53" s="10" t="s">
        <v>120</v>
      </c>
      <c r="C53" s="127"/>
      <c r="D53" s="130">
        <v>3</v>
      </c>
      <c r="E53" s="111"/>
      <c r="F53" s="113"/>
      <c r="G53" s="113"/>
      <c r="H53" s="114"/>
      <c r="I53" s="10" t="str">
        <f t="shared" si="1"/>
        <v>Number of shifts</v>
      </c>
      <c r="J53" s="130">
        <v>3</v>
      </c>
      <c r="K53" s="131"/>
      <c r="L53" s="116"/>
      <c r="M53" s="116"/>
      <c r="N53" s="116"/>
      <c r="O53" s="10" t="str">
        <f t="shared" si="0"/>
        <v>Number of shifts</v>
      </c>
      <c r="P53" s="130">
        <v>3</v>
      </c>
      <c r="Q53" s="116"/>
      <c r="R53" s="116"/>
      <c r="S53" s="116"/>
      <c r="T53" s="116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x14ac:dyDescent="0.2">
      <c r="A54" s="89"/>
      <c r="B54" s="10" t="s">
        <v>121</v>
      </c>
      <c r="C54" s="127"/>
      <c r="D54" s="136">
        <v>0.8</v>
      </c>
      <c r="E54" s="111"/>
      <c r="F54" s="113"/>
      <c r="G54" s="113"/>
      <c r="H54" s="114"/>
      <c r="I54" s="10" t="str">
        <f t="shared" si="1"/>
        <v>Line utilization</v>
      </c>
      <c r="J54" s="136">
        <v>0.8</v>
      </c>
      <c r="K54" s="137"/>
      <c r="L54" s="116"/>
      <c r="M54" s="116"/>
      <c r="N54" s="116"/>
      <c r="O54" s="10" t="str">
        <f t="shared" si="0"/>
        <v>Line utilization</v>
      </c>
      <c r="P54" s="136">
        <v>0.8</v>
      </c>
      <c r="Q54" s="116"/>
      <c r="R54" s="116"/>
      <c r="S54" s="116"/>
      <c r="T54" s="116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x14ac:dyDescent="0.2">
      <c r="A55" s="89"/>
      <c r="B55" s="10" t="s">
        <v>122</v>
      </c>
      <c r="C55" s="127"/>
      <c r="D55" s="128">
        <f>D53*1750</f>
        <v>5250</v>
      </c>
      <c r="E55" s="112"/>
      <c r="F55" s="113"/>
      <c r="G55" s="113"/>
      <c r="H55" s="114"/>
      <c r="I55" s="10" t="str">
        <f t="shared" si="1"/>
        <v>Available line hours / year</v>
      </c>
      <c r="J55" s="128">
        <f>J53*1750</f>
        <v>5250</v>
      </c>
      <c r="K55" s="126"/>
      <c r="L55" s="116"/>
      <c r="M55" s="116"/>
      <c r="N55" s="116"/>
      <c r="O55" s="10" t="str">
        <f t="shared" si="0"/>
        <v>Available line hours / year</v>
      </c>
      <c r="P55" s="128">
        <f>P53*1750</f>
        <v>5250</v>
      </c>
      <c r="Q55" s="116"/>
      <c r="R55" s="116"/>
      <c r="S55" s="116"/>
      <c r="T55" s="116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x14ac:dyDescent="0.2">
      <c r="A56" s="89"/>
      <c r="B56" s="12" t="s">
        <v>123</v>
      </c>
      <c r="C56" s="138"/>
      <c r="D56" s="139">
        <v>6</v>
      </c>
      <c r="E56" s="112"/>
      <c r="F56" s="113"/>
      <c r="G56" s="113"/>
      <c r="H56" s="114"/>
      <c r="I56" s="12" t="str">
        <f t="shared" si="1"/>
        <v>Number of bluecollar per shift</v>
      </c>
      <c r="J56" s="13">
        <v>6</v>
      </c>
      <c r="K56" s="116"/>
      <c r="L56" s="116"/>
      <c r="M56" s="116"/>
      <c r="N56" s="116"/>
      <c r="O56" s="12" t="str">
        <f t="shared" si="0"/>
        <v>Number of bluecollar per shift</v>
      </c>
      <c r="P56" s="13">
        <v>6</v>
      </c>
      <c r="Q56" s="116"/>
      <c r="R56" s="116"/>
      <c r="S56" s="116"/>
      <c r="T56" s="116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ht="24" customHeight="1" x14ac:dyDescent="0.2">
      <c r="A57" s="89"/>
      <c r="B57" s="111" t="s">
        <v>124</v>
      </c>
      <c r="C57" s="112"/>
      <c r="D57" s="140"/>
      <c r="E57" s="112"/>
      <c r="F57" s="113"/>
      <c r="G57" s="113"/>
      <c r="H57" s="114"/>
      <c r="I57" s="115" t="str">
        <f t="shared" si="1"/>
        <v>Costing components</v>
      </c>
      <c r="J57" s="116"/>
      <c r="K57" s="116"/>
      <c r="L57" s="116"/>
      <c r="M57" s="116"/>
      <c r="N57" s="116"/>
      <c r="O57" s="115" t="str">
        <f t="shared" si="0"/>
        <v>Costing components</v>
      </c>
      <c r="P57" s="116"/>
      <c r="Q57" s="116"/>
      <c r="R57" s="116"/>
      <c r="S57" s="116"/>
      <c r="T57" s="116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x14ac:dyDescent="0.2">
      <c r="A58" s="89"/>
      <c r="B58" s="141"/>
      <c r="C58" s="142"/>
      <c r="D58" s="242" t="s">
        <v>125</v>
      </c>
      <c r="E58" s="242"/>
      <c r="F58" s="143" t="s">
        <v>126</v>
      </c>
      <c r="G58" s="90"/>
      <c r="H58" s="91"/>
      <c r="I58" s="141"/>
      <c r="J58" s="142"/>
      <c r="K58" s="242" t="s">
        <v>125</v>
      </c>
      <c r="L58" s="242"/>
      <c r="M58" s="143" t="s">
        <v>126</v>
      </c>
      <c r="N58" s="144"/>
      <c r="O58" s="141"/>
      <c r="P58" s="142"/>
      <c r="Q58" s="242" t="s">
        <v>125</v>
      </c>
      <c r="R58" s="242"/>
      <c r="S58" s="143" t="str">
        <f>M58</f>
        <v>%</v>
      </c>
      <c r="T58" s="144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x14ac:dyDescent="0.2">
      <c r="A59" s="89"/>
      <c r="B59" s="145" t="s">
        <v>5</v>
      </c>
      <c r="C59" s="112">
        <f>ROUND($X$108/'HQS PH#11'!D55/D54,)</f>
        <v>36</v>
      </c>
      <c r="D59" s="146" t="s">
        <v>32</v>
      </c>
      <c r="E59" s="147">
        <f>D$50/$D$51*C59</f>
        <v>116.50485436893204</v>
      </c>
      <c r="F59" s="148">
        <f>E59/$E$65</f>
        <v>0.13176861650555985</v>
      </c>
      <c r="G59" s="149"/>
      <c r="H59" s="150"/>
      <c r="I59" s="151" t="s">
        <v>127</v>
      </c>
      <c r="J59" s="112"/>
      <c r="K59" s="146"/>
      <c r="L59" s="147"/>
      <c r="M59" s="148">
        <f>1-SUM(M60:M65)</f>
        <v>0.47682764163673563</v>
      </c>
      <c r="N59" s="152"/>
      <c r="O59" s="145" t="str">
        <f t="shared" ref="O59:O66" si="2">I59</f>
        <v>Savings</v>
      </c>
      <c r="P59" s="112"/>
      <c r="Q59" s="146"/>
      <c r="R59" s="147"/>
      <c r="S59" s="148">
        <f>1-SUM(S60:S65)</f>
        <v>0.46800930568160037</v>
      </c>
      <c r="T59" s="152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 x14ac:dyDescent="0.2">
      <c r="A60" s="89"/>
      <c r="B60" s="3" t="s">
        <v>2</v>
      </c>
      <c r="C60" s="2">
        <f>$X$121*$X$122</f>
        <v>56</v>
      </c>
      <c r="D60" s="2" t="s">
        <v>128</v>
      </c>
      <c r="E60" s="5">
        <f>D$50/$D$51*C60</f>
        <v>181.22977346278319</v>
      </c>
      <c r="F60" s="153">
        <f t="shared" ref="F60:F64" si="3">E60/$E$65</f>
        <v>0.20497340345309312</v>
      </c>
      <c r="G60" s="154"/>
      <c r="H60" s="155"/>
      <c r="I60" s="83" t="s">
        <v>5</v>
      </c>
      <c r="J60" s="2">
        <f>ROUND($X$108/'HQS PH#11'!J55/J54,)</f>
        <v>36</v>
      </c>
      <c r="K60" s="2" t="s">
        <v>32</v>
      </c>
      <c r="L60" s="5">
        <f>J60*(M129+M130+M131)</f>
        <v>52.450980392156865</v>
      </c>
      <c r="M60" s="153">
        <f>L60/$E$65</f>
        <v>5.9322790952114998E-2</v>
      </c>
      <c r="N60" s="152"/>
      <c r="O60" s="83" t="s">
        <v>5</v>
      </c>
      <c r="P60" s="2">
        <f>ROUND($X$108/'HQS PH#11'!P55/P54,)</f>
        <v>36</v>
      </c>
      <c r="Q60" s="2" t="s">
        <v>32</v>
      </c>
      <c r="R60" s="5">
        <f>P60*(S129)</f>
        <v>47.500000000000007</v>
      </c>
      <c r="S60" s="153">
        <f>R60/$E$65</f>
        <v>5.372316302112097E-2</v>
      </c>
      <c r="T60" s="152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x14ac:dyDescent="0.2">
      <c r="A61" s="89"/>
      <c r="B61" s="145" t="s">
        <v>6</v>
      </c>
      <c r="C61" s="112">
        <f>500000/5000*0.1</f>
        <v>10</v>
      </c>
      <c r="D61" s="112" t="s">
        <v>32</v>
      </c>
      <c r="E61" s="147">
        <f>D$50/$D$51*C61</f>
        <v>32.362459546925571</v>
      </c>
      <c r="F61" s="148">
        <f t="shared" si="3"/>
        <v>3.6602393473766634E-2</v>
      </c>
      <c r="G61" s="154"/>
      <c r="H61" s="155"/>
      <c r="I61" s="145" t="str">
        <f t="shared" ref="I61:I66" si="4">B60</f>
        <v>Energy</v>
      </c>
      <c r="J61" s="112">
        <f>$X$121*$X$122</f>
        <v>56</v>
      </c>
      <c r="K61" s="112" t="s">
        <v>129</v>
      </c>
      <c r="L61" s="147">
        <f>M129*J61</f>
        <v>21.96078431372549</v>
      </c>
      <c r="M61" s="148">
        <f t="shared" ref="M61:M65" si="5">L61/$E$65</f>
        <v>2.4837953594904223E-2</v>
      </c>
      <c r="N61" s="152"/>
      <c r="O61" s="145" t="str">
        <f t="shared" si="2"/>
        <v>Energy</v>
      </c>
      <c r="P61" s="112">
        <f>$X$121*$X$122</f>
        <v>56</v>
      </c>
      <c r="Q61" s="112" t="s">
        <v>129</v>
      </c>
      <c r="R61" s="147">
        <f>S129*P61</f>
        <v>73.8888888888889</v>
      </c>
      <c r="S61" s="148">
        <f t="shared" ref="S61:S65" si="6">R61/$E$65</f>
        <v>8.3569364699521517E-2</v>
      </c>
      <c r="T61" s="152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x14ac:dyDescent="0.2">
      <c r="A62" s="89"/>
      <c r="B62" s="3" t="s">
        <v>3</v>
      </c>
      <c r="C62" s="2">
        <f>ROUND(D56*$X$131,)</f>
        <v>116</v>
      </c>
      <c r="D62" s="2" t="s">
        <v>32</v>
      </c>
      <c r="E62" s="5">
        <f>C62*F130</f>
        <v>499.28802588996768</v>
      </c>
      <c r="F62" s="153">
        <f t="shared" si="3"/>
        <v>0.56470172651327155</v>
      </c>
      <c r="G62" s="154"/>
      <c r="H62" s="155"/>
      <c r="I62" s="3" t="str">
        <f t="shared" si="4"/>
        <v>Variable line cost</v>
      </c>
      <c r="J62" s="2">
        <f>500000/5000*0.1</f>
        <v>10</v>
      </c>
      <c r="K62" s="2" t="s">
        <v>32</v>
      </c>
      <c r="L62" s="5">
        <f>M129*J62</f>
        <v>3.9215686274509802</v>
      </c>
      <c r="M62" s="156">
        <f t="shared" si="5"/>
        <v>4.4353488562328966E-3</v>
      </c>
      <c r="N62" s="152"/>
      <c r="O62" s="3" t="str">
        <f t="shared" si="2"/>
        <v>Variable line cost</v>
      </c>
      <c r="P62" s="2">
        <f>500000/5000*0.1</f>
        <v>10</v>
      </c>
      <c r="Q62" s="2" t="s">
        <v>32</v>
      </c>
      <c r="R62" s="5">
        <f>S129*P62</f>
        <v>13.194444444444446</v>
      </c>
      <c r="S62" s="156">
        <f t="shared" si="6"/>
        <v>1.492310083920027E-2</v>
      </c>
      <c r="T62" s="152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x14ac:dyDescent="0.2">
      <c r="A63" s="89"/>
      <c r="B63" s="145" t="s">
        <v>130</v>
      </c>
      <c r="C63" s="157">
        <f>50/2200*0.1</f>
        <v>2.2727272727272731E-3</v>
      </c>
      <c r="D63" s="157" t="s">
        <v>4</v>
      </c>
      <c r="E63" s="147">
        <f>C63*D50</f>
        <v>22.72727272727273</v>
      </c>
      <c r="F63" s="148">
        <f t="shared" si="3"/>
        <v>2.5704862689531566E-2</v>
      </c>
      <c r="G63" s="154"/>
      <c r="H63" s="155"/>
      <c r="I63" s="145" t="str">
        <f t="shared" si="4"/>
        <v>Blue collar</v>
      </c>
      <c r="J63" s="112">
        <f>ROUND(J56*$X$131,)</f>
        <v>116</v>
      </c>
      <c r="K63" s="112" t="s">
        <v>32</v>
      </c>
      <c r="L63" s="147">
        <f>M132</f>
        <v>169.00871459694989</v>
      </c>
      <c r="M63" s="148">
        <f t="shared" si="5"/>
        <v>0.19115121529014831</v>
      </c>
      <c r="N63" s="152"/>
      <c r="O63" s="145" t="str">
        <f t="shared" si="2"/>
        <v>Blue collar</v>
      </c>
      <c r="P63" s="112">
        <f>ROUND(P56*$X$131,)</f>
        <v>116</v>
      </c>
      <c r="Q63" s="112" t="s">
        <v>32</v>
      </c>
      <c r="R63" s="147">
        <f>S130</f>
        <v>153.05555555555557</v>
      </c>
      <c r="S63" s="148">
        <f t="shared" si="6"/>
        <v>0.17310796973472312</v>
      </c>
      <c r="T63" s="152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x14ac:dyDescent="0.2">
      <c r="A64" s="89"/>
      <c r="B64" s="4" t="s">
        <v>43</v>
      </c>
      <c r="C64" s="158">
        <f>F112</f>
        <v>3.2049999999999999E-3</v>
      </c>
      <c r="D64" s="158" t="s">
        <v>4</v>
      </c>
      <c r="E64" s="6">
        <f>D50*C64</f>
        <v>32.049999999999997</v>
      </c>
      <c r="F64" s="159">
        <f t="shared" si="3"/>
        <v>3.6248997364777408E-2</v>
      </c>
      <c r="G64" s="154"/>
      <c r="H64" s="155"/>
      <c r="I64" s="3" t="str">
        <f t="shared" si="4"/>
        <v>Powder</v>
      </c>
      <c r="J64" s="160">
        <f>C63</f>
        <v>2.2727272727272731E-3</v>
      </c>
      <c r="K64" s="160" t="s">
        <v>4</v>
      </c>
      <c r="L64" s="5">
        <f>J50*J64</f>
        <v>22.72727272727273</v>
      </c>
      <c r="M64" s="153">
        <f t="shared" si="5"/>
        <v>2.5704862689531566E-2</v>
      </c>
      <c r="N64" s="152"/>
      <c r="O64" s="3" t="str">
        <f t="shared" si="2"/>
        <v>Powder</v>
      </c>
      <c r="P64" s="160">
        <f>C63</f>
        <v>2.2727272727272731E-3</v>
      </c>
      <c r="Q64" s="160" t="s">
        <v>4</v>
      </c>
      <c r="R64" s="5">
        <f>P50*P64</f>
        <v>22.72727272727273</v>
      </c>
      <c r="S64" s="153">
        <f t="shared" si="6"/>
        <v>2.5704862689531566E-2</v>
      </c>
      <c r="T64" s="152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ht="13.5" thickBot="1" x14ac:dyDescent="0.25">
      <c r="A65" s="89"/>
      <c r="B65" s="7" t="s">
        <v>37</v>
      </c>
      <c r="C65" s="161" t="s">
        <v>131</v>
      </c>
      <c r="D65" s="161"/>
      <c r="E65" s="8">
        <f>SUM(E59:E64)</f>
        <v>884.1623859958811</v>
      </c>
      <c r="F65" s="162">
        <f>SUM(F59:F64)</f>
        <v>1.0000000000000002</v>
      </c>
      <c r="G65" s="154"/>
      <c r="H65" s="155"/>
      <c r="I65" s="145" t="str">
        <f t="shared" si="4"/>
        <v>Cost hanging point</v>
      </c>
      <c r="J65" s="157">
        <f>M112</f>
        <v>1.925E-2</v>
      </c>
      <c r="K65" s="157" t="s">
        <v>4</v>
      </c>
      <c r="L65" s="147">
        <f>J65*J50</f>
        <v>192.5</v>
      </c>
      <c r="M65" s="148">
        <f t="shared" si="5"/>
        <v>0.21772018698033233</v>
      </c>
      <c r="N65" s="152"/>
      <c r="O65" s="145" t="str">
        <f t="shared" si="2"/>
        <v>Cost hanging point</v>
      </c>
      <c r="P65" s="157">
        <v>1.6E-2</v>
      </c>
      <c r="Q65" s="157" t="s">
        <v>4</v>
      </c>
      <c r="R65" s="147">
        <f>P65*P50</f>
        <v>160</v>
      </c>
      <c r="S65" s="148">
        <f t="shared" si="6"/>
        <v>0.1809622333343022</v>
      </c>
      <c r="T65" s="16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ht="14.25" thickTop="1" thickBot="1" x14ac:dyDescent="0.25">
      <c r="A66" s="89"/>
      <c r="B66" s="111"/>
      <c r="C66" s="111"/>
      <c r="D66" s="111"/>
      <c r="E66" s="89"/>
      <c r="F66" s="90"/>
      <c r="G66" s="154"/>
      <c r="H66" s="155"/>
      <c r="I66" s="7" t="str">
        <f t="shared" si="4"/>
        <v>Total coating cost</v>
      </c>
      <c r="J66" s="161"/>
      <c r="K66" s="161"/>
      <c r="L66" s="8">
        <f>SUM(L59:L65)</f>
        <v>462.56932065755598</v>
      </c>
      <c r="M66" s="162">
        <f>SUM(M59:M65)</f>
        <v>1</v>
      </c>
      <c r="N66" s="163"/>
      <c r="O66" s="7" t="str">
        <f t="shared" si="2"/>
        <v>Total coating cost</v>
      </c>
      <c r="P66" s="161"/>
      <c r="Q66" s="161"/>
      <c r="R66" s="8">
        <f>SUM(R59:R65)</f>
        <v>470.36616161616166</v>
      </c>
      <c r="S66" s="162">
        <f>SUM(S59:S65)</f>
        <v>0.99999999999999989</v>
      </c>
      <c r="T66" s="16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ht="14.25" thickTop="1" thickBot="1" x14ac:dyDescent="0.25">
      <c r="A67" s="89"/>
      <c r="B67" s="89"/>
      <c r="C67" s="89"/>
      <c r="D67" s="89"/>
      <c r="E67" s="89"/>
      <c r="F67" s="89"/>
      <c r="G67" s="90"/>
      <c r="H67" s="91"/>
      <c r="I67" s="115"/>
      <c r="J67" s="164"/>
      <c r="K67" s="164"/>
      <c r="L67" s="163"/>
      <c r="M67" s="163"/>
      <c r="N67" s="163"/>
      <c r="O67" s="115"/>
      <c r="P67" s="164"/>
      <c r="Q67" s="164"/>
      <c r="R67" s="163"/>
      <c r="S67" s="163"/>
      <c r="T67" s="92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ht="13.5" thickBot="1" x14ac:dyDescent="0.25">
      <c r="A68" s="89"/>
      <c r="B68" s="89"/>
      <c r="C68" s="89"/>
      <c r="D68" s="89"/>
      <c r="E68" s="165">
        <f>E65/D50</f>
        <v>8.8416238599588109E-2</v>
      </c>
      <c r="F68" s="166" t="s">
        <v>4</v>
      </c>
      <c r="G68" s="90"/>
      <c r="H68" s="91"/>
      <c r="I68" s="92"/>
      <c r="J68" s="92"/>
      <c r="K68" s="92"/>
      <c r="L68" s="167">
        <f>L66/J50</f>
        <v>4.6256932065755596E-2</v>
      </c>
      <c r="M68" s="168" t="s">
        <v>4</v>
      </c>
      <c r="N68" s="92"/>
      <c r="O68" s="92"/>
      <c r="P68" s="92"/>
      <c r="Q68" s="92"/>
      <c r="R68" s="167">
        <f>R66/P50</f>
        <v>4.7036616161616168E-2</v>
      </c>
      <c r="S68" s="168" t="s">
        <v>4</v>
      </c>
      <c r="T68" s="92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x14ac:dyDescent="0.2">
      <c r="A69" s="89"/>
      <c r="B69" s="89"/>
      <c r="C69" s="89"/>
      <c r="D69" s="89"/>
      <c r="E69" s="89"/>
      <c r="F69" s="90"/>
      <c r="G69" s="90"/>
      <c r="H69" s="169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</row>
    <row r="70" spans="1:31" x14ac:dyDescent="0.2">
      <c r="A70" s="89"/>
      <c r="B70" s="89"/>
      <c r="C70" s="89"/>
      <c r="D70" s="89"/>
      <c r="E70" s="89"/>
      <c r="F70" s="90"/>
      <c r="G70" s="90"/>
      <c r="H70" s="169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</row>
    <row r="71" spans="1:31" x14ac:dyDescent="0.2">
      <c r="A71" s="89"/>
      <c r="B71" s="89"/>
      <c r="C71" s="89"/>
      <c r="D71" s="89"/>
      <c r="E71" s="89"/>
      <c r="F71" s="90"/>
      <c r="G71" s="90"/>
      <c r="H71" s="169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</row>
    <row r="72" spans="1:31" x14ac:dyDescent="0.2">
      <c r="A72" s="89"/>
      <c r="B72" s="89"/>
      <c r="C72" s="89"/>
      <c r="D72" s="89"/>
      <c r="E72" s="89"/>
      <c r="F72" s="90"/>
      <c r="G72" s="90"/>
      <c r="H72" s="169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</row>
    <row r="73" spans="1:31" ht="30" x14ac:dyDescent="0.4">
      <c r="A73" s="89"/>
      <c r="B73" s="89"/>
      <c r="C73" s="89"/>
      <c r="D73" s="89"/>
      <c r="E73" s="89"/>
      <c r="F73" s="90"/>
      <c r="G73" s="90"/>
      <c r="H73" s="169"/>
      <c r="I73" s="170"/>
      <c r="J73" s="170"/>
      <c r="K73" s="171" t="s">
        <v>132</v>
      </c>
      <c r="L73" s="170"/>
      <c r="M73" s="170"/>
      <c r="N73" s="170"/>
      <c r="O73" s="170"/>
      <c r="P73" s="170"/>
      <c r="Q73" s="170"/>
      <c r="R73" s="170"/>
      <c r="S73" s="170"/>
      <c r="T73" s="170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</row>
    <row r="74" spans="1:31" x14ac:dyDescent="0.2">
      <c r="A74" s="89"/>
      <c r="B74" s="89"/>
      <c r="C74" s="89"/>
      <c r="D74" s="89"/>
      <c r="E74" s="89"/>
      <c r="F74" s="90"/>
      <c r="G74" s="90"/>
      <c r="H74" s="169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</row>
    <row r="75" spans="1:31" x14ac:dyDescent="0.2">
      <c r="A75" s="89"/>
      <c r="B75" s="89"/>
      <c r="C75" s="89"/>
      <c r="D75" s="89"/>
      <c r="E75" s="89"/>
      <c r="F75" s="90"/>
      <c r="G75" s="90"/>
      <c r="H75" s="169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</row>
    <row r="76" spans="1:31" x14ac:dyDescent="0.2">
      <c r="A76" s="89"/>
      <c r="B76" s="89"/>
      <c r="C76" s="89"/>
      <c r="D76" s="89"/>
      <c r="E76" s="89"/>
      <c r="F76" s="90"/>
      <c r="G76" s="90"/>
      <c r="H76" s="169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</row>
    <row r="77" spans="1:31" ht="20.25" x14ac:dyDescent="0.3">
      <c r="A77" s="89" t="s">
        <v>132</v>
      </c>
      <c r="B77" s="89"/>
      <c r="C77" s="89"/>
      <c r="D77" s="88" t="s">
        <v>133</v>
      </c>
      <c r="E77" s="89"/>
      <c r="F77" s="90"/>
      <c r="G77" s="90"/>
      <c r="H77" s="169"/>
      <c r="I77" s="170"/>
      <c r="J77" s="170"/>
      <c r="K77" s="103" t="s">
        <v>134</v>
      </c>
      <c r="L77" s="170"/>
      <c r="M77" s="170"/>
      <c r="N77" s="170"/>
      <c r="O77" s="170"/>
      <c r="P77" s="170"/>
      <c r="Q77" s="103" t="s">
        <v>135</v>
      </c>
      <c r="R77" s="170"/>
      <c r="S77" s="170"/>
      <c r="T77" s="17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</row>
    <row r="78" spans="1:31" x14ac:dyDescent="0.2">
      <c r="A78" s="89"/>
      <c r="B78" s="89"/>
      <c r="C78" s="89"/>
      <c r="D78" s="89"/>
      <c r="E78" s="89"/>
      <c r="F78" s="90"/>
      <c r="G78" s="90"/>
      <c r="H78" s="169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</row>
    <row r="79" spans="1:31" x14ac:dyDescent="0.2">
      <c r="A79" s="89"/>
      <c r="B79" s="172" t="s">
        <v>136</v>
      </c>
      <c r="C79" s="89"/>
      <c r="D79" s="89"/>
      <c r="E79" s="89"/>
      <c r="F79" s="90"/>
      <c r="G79" s="90"/>
      <c r="H79" s="169"/>
      <c r="I79" s="170"/>
      <c r="J79" s="96" t="str">
        <f>B79</f>
        <v>Assumption</v>
      </c>
      <c r="K79" s="96"/>
      <c r="L79" s="96"/>
      <c r="M79" s="96"/>
      <c r="N79" s="96"/>
      <c r="O79" s="96"/>
      <c r="P79" s="96" t="str">
        <f>B79</f>
        <v>Assumption</v>
      </c>
      <c r="Q79" s="170"/>
      <c r="R79" s="170"/>
      <c r="S79" s="170"/>
      <c r="T79" s="170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</row>
    <row r="80" spans="1:31" x14ac:dyDescent="0.2">
      <c r="A80" s="89"/>
      <c r="B80" s="89"/>
      <c r="C80" s="89"/>
      <c r="D80" s="89"/>
      <c r="E80" s="89"/>
      <c r="F80" s="90"/>
      <c r="G80" s="90"/>
      <c r="H80" s="169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</row>
    <row r="81" spans="1:31" x14ac:dyDescent="0.2">
      <c r="A81" s="89"/>
      <c r="B81" s="173" t="s">
        <v>137</v>
      </c>
      <c r="C81" s="89"/>
      <c r="D81" s="89"/>
      <c r="E81" s="89"/>
      <c r="F81" s="90"/>
      <c r="G81" s="90"/>
      <c r="H81" s="169"/>
      <c r="I81" s="170"/>
      <c r="J81" s="101" t="s">
        <v>138</v>
      </c>
      <c r="K81" s="170"/>
      <c r="L81" s="170"/>
      <c r="M81" s="170"/>
      <c r="N81" s="170"/>
      <c r="O81" s="170"/>
      <c r="P81" s="101" t="s">
        <v>139</v>
      </c>
      <c r="Q81" s="170"/>
      <c r="R81" s="170"/>
      <c r="S81" s="170"/>
      <c r="T81" s="170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</row>
    <row r="82" spans="1:31" x14ac:dyDescent="0.2">
      <c r="A82" s="89"/>
      <c r="B82" s="89"/>
      <c r="C82" s="89"/>
      <c r="D82" s="89"/>
      <c r="E82" s="89"/>
      <c r="F82" s="90"/>
      <c r="G82" s="90"/>
      <c r="H82" s="169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</row>
    <row r="83" spans="1:31" x14ac:dyDescent="0.2">
      <c r="A83" s="89"/>
      <c r="B83" s="173" t="s">
        <v>140</v>
      </c>
      <c r="C83" s="89"/>
      <c r="D83" s="89"/>
      <c r="E83" s="89"/>
      <c r="F83" s="90"/>
      <c r="G83" s="90"/>
      <c r="H83" s="169"/>
      <c r="I83" s="170"/>
      <c r="J83" s="101" t="s">
        <v>141</v>
      </c>
      <c r="K83" s="170"/>
      <c r="L83" s="170"/>
      <c r="M83" s="170"/>
      <c r="N83" s="170"/>
      <c r="O83" s="170"/>
      <c r="P83" s="101" t="s">
        <v>142</v>
      </c>
      <c r="Q83" s="170"/>
      <c r="R83" s="170"/>
      <c r="S83" s="170"/>
      <c r="T83" s="170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</row>
    <row r="84" spans="1:31" x14ac:dyDescent="0.2">
      <c r="A84" s="89"/>
      <c r="B84" s="89"/>
      <c r="C84" s="89"/>
      <c r="D84" s="89"/>
      <c r="E84" s="89"/>
      <c r="F84" s="90"/>
      <c r="G84" s="90"/>
      <c r="H84" s="169"/>
      <c r="I84" s="170"/>
      <c r="J84" s="170" t="s">
        <v>143</v>
      </c>
      <c r="K84" s="170"/>
      <c r="L84" s="170"/>
      <c r="M84" s="170"/>
      <c r="N84" s="170"/>
      <c r="O84" s="170"/>
      <c r="P84" s="170" t="s">
        <v>144</v>
      </c>
      <c r="Q84" s="170"/>
      <c r="R84" s="170"/>
      <c r="S84" s="170"/>
      <c r="T84" s="170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</row>
    <row r="85" spans="1:31" x14ac:dyDescent="0.2">
      <c r="A85" s="89"/>
      <c r="B85" s="174" t="s">
        <v>145</v>
      </c>
      <c r="C85" s="89"/>
      <c r="D85" s="89"/>
      <c r="E85" s="89"/>
      <c r="F85" s="90"/>
      <c r="G85" s="90"/>
      <c r="H85" s="169"/>
      <c r="I85" s="170"/>
      <c r="J85" s="170" t="s">
        <v>146</v>
      </c>
      <c r="K85" s="170"/>
      <c r="L85" s="170"/>
      <c r="M85" s="170"/>
      <c r="N85" s="170"/>
      <c r="O85" s="170"/>
      <c r="P85" s="170" t="s">
        <v>147</v>
      </c>
      <c r="Q85" s="170"/>
      <c r="R85" s="170"/>
      <c r="S85" s="170"/>
      <c r="T85" s="170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</row>
    <row r="86" spans="1:31" x14ac:dyDescent="0.2">
      <c r="A86" s="89"/>
      <c r="B86" s="89"/>
      <c r="C86" s="89"/>
      <c r="D86" s="89"/>
      <c r="E86" s="89"/>
      <c r="F86" s="90"/>
      <c r="G86" s="90"/>
      <c r="H86" s="169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</row>
    <row r="87" spans="1:31" x14ac:dyDescent="0.2">
      <c r="A87" s="89"/>
      <c r="B87" s="89"/>
      <c r="C87" s="89"/>
      <c r="D87" s="89"/>
      <c r="E87" s="89"/>
      <c r="F87" s="90"/>
      <c r="G87" s="90"/>
      <c r="H87" s="169"/>
      <c r="I87" s="170"/>
      <c r="J87" s="101" t="s">
        <v>148</v>
      </c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</row>
    <row r="88" spans="1:31" x14ac:dyDescent="0.2">
      <c r="A88" s="89"/>
      <c r="B88" s="174" t="s">
        <v>149</v>
      </c>
      <c r="C88" s="89"/>
      <c r="D88" s="89"/>
      <c r="E88" s="89"/>
      <c r="F88" s="90"/>
      <c r="G88" s="90"/>
      <c r="H88" s="169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</row>
    <row r="89" spans="1:31" x14ac:dyDescent="0.2">
      <c r="A89" s="89"/>
      <c r="B89" s="89"/>
      <c r="C89" s="89"/>
      <c r="D89" s="89"/>
      <c r="E89" s="89"/>
      <c r="F89" s="90"/>
      <c r="G89" s="90"/>
      <c r="H89" s="169"/>
      <c r="I89" s="170"/>
      <c r="J89" s="101" t="s">
        <v>150</v>
      </c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</row>
    <row r="90" spans="1:31" x14ac:dyDescent="0.2">
      <c r="A90" s="89"/>
      <c r="B90" s="89"/>
      <c r="C90" s="89"/>
      <c r="D90" s="89"/>
      <c r="E90" s="89"/>
      <c r="F90" s="90"/>
      <c r="G90" s="90"/>
      <c r="H90" s="169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</row>
    <row r="91" spans="1:31" x14ac:dyDescent="0.2">
      <c r="A91" s="89"/>
      <c r="B91" s="89"/>
      <c r="C91" s="89"/>
      <c r="D91" s="89"/>
      <c r="E91" s="89"/>
      <c r="F91" s="90"/>
      <c r="G91" s="90"/>
      <c r="H91" s="169"/>
      <c r="I91" s="170"/>
      <c r="J91" s="101" t="s">
        <v>151</v>
      </c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</row>
    <row r="92" spans="1:31" x14ac:dyDescent="0.2">
      <c r="A92" s="89"/>
      <c r="B92" s="89"/>
      <c r="C92" s="89"/>
      <c r="D92" s="89"/>
      <c r="E92" s="89"/>
      <c r="F92" s="90"/>
      <c r="G92" s="90"/>
      <c r="H92" s="169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</row>
    <row r="93" spans="1:31" ht="20.25" x14ac:dyDescent="0.3">
      <c r="A93" s="89"/>
      <c r="B93" s="89"/>
      <c r="C93" s="89"/>
      <c r="D93" s="88"/>
      <c r="E93" s="175"/>
      <c r="F93" s="176"/>
      <c r="G93" s="176"/>
      <c r="H93" s="177"/>
      <c r="I93" s="178"/>
      <c r="J93" s="178"/>
      <c r="K93" s="103"/>
      <c r="L93" s="178"/>
      <c r="M93" s="178"/>
      <c r="N93" s="178"/>
      <c r="O93" s="178"/>
      <c r="P93" s="178"/>
      <c r="Q93" s="103"/>
      <c r="R93" s="178"/>
      <c r="S93" s="170"/>
      <c r="T93" s="170"/>
      <c r="U93" s="93"/>
      <c r="V93" s="179" t="s">
        <v>152</v>
      </c>
      <c r="W93" s="93"/>
      <c r="X93" s="93"/>
      <c r="Y93" s="93"/>
      <c r="Z93" s="93"/>
      <c r="AA93" s="93"/>
      <c r="AB93" s="93"/>
      <c r="AC93" s="93"/>
      <c r="AD93" s="93"/>
      <c r="AE93" s="93"/>
    </row>
    <row r="94" spans="1:31" x14ac:dyDescent="0.2">
      <c r="A94" s="89"/>
      <c r="B94" s="89"/>
      <c r="C94" s="89"/>
      <c r="D94" s="89"/>
      <c r="E94" s="89"/>
      <c r="F94" s="90"/>
      <c r="G94" s="90"/>
      <c r="H94" s="169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</row>
    <row r="95" spans="1:31" x14ac:dyDescent="0.2">
      <c r="A95" s="89"/>
      <c r="B95" s="89"/>
      <c r="C95" s="89"/>
      <c r="D95" s="89"/>
      <c r="E95" s="89"/>
      <c r="F95" s="90"/>
      <c r="G95" s="90"/>
      <c r="H95" s="169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</row>
    <row r="96" spans="1:31" ht="15.75" x14ac:dyDescent="0.25">
      <c r="A96" s="89"/>
      <c r="B96" s="180" t="s">
        <v>153</v>
      </c>
      <c r="C96" s="89"/>
      <c r="D96" s="89"/>
      <c r="E96" s="89"/>
      <c r="F96" s="90"/>
      <c r="G96" s="90"/>
      <c r="H96" s="169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</row>
    <row r="97" spans="1:31" x14ac:dyDescent="0.2">
      <c r="A97" s="89"/>
      <c r="B97" s="89"/>
      <c r="C97" s="89"/>
      <c r="D97" s="89"/>
      <c r="E97" s="89"/>
      <c r="F97" s="90"/>
      <c r="G97" s="90"/>
      <c r="H97" s="169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81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</row>
    <row r="98" spans="1:31" x14ac:dyDescent="0.2">
      <c r="A98" s="89"/>
      <c r="B98" s="89"/>
      <c r="C98" s="14" t="s">
        <v>154</v>
      </c>
      <c r="D98" s="15"/>
      <c r="E98" s="15"/>
      <c r="F98" s="182">
        <v>90</v>
      </c>
      <c r="G98" s="90"/>
      <c r="H98" s="169"/>
      <c r="I98" s="170"/>
      <c r="J98" s="14" t="s">
        <v>154</v>
      </c>
      <c r="K98" s="15"/>
      <c r="L98" s="15"/>
      <c r="M98" s="182">
        <v>60</v>
      </c>
      <c r="N98" s="183"/>
      <c r="O98" s="170"/>
      <c r="P98" s="14" t="s">
        <v>154</v>
      </c>
      <c r="Q98" s="15"/>
      <c r="R98" s="15"/>
      <c r="S98" s="182">
        <v>150</v>
      </c>
      <c r="T98" s="181"/>
      <c r="U98" s="93"/>
      <c r="V98" s="14" t="s">
        <v>8</v>
      </c>
      <c r="W98" s="15"/>
      <c r="X98" s="20">
        <f>7000000/10</f>
        <v>700000</v>
      </c>
      <c r="Y98" s="21" t="s">
        <v>7</v>
      </c>
      <c r="Z98" s="93"/>
      <c r="AA98" s="93"/>
      <c r="AB98" s="93"/>
      <c r="AC98" s="93"/>
      <c r="AD98" s="93"/>
      <c r="AE98" s="93"/>
    </row>
    <row r="99" spans="1:31" x14ac:dyDescent="0.2">
      <c r="A99" s="89"/>
      <c r="B99" s="89"/>
      <c r="C99" s="145" t="s">
        <v>155</v>
      </c>
      <c r="D99" s="112"/>
      <c r="E99" s="112"/>
      <c r="F99" s="184">
        <v>120</v>
      </c>
      <c r="G99" s="90"/>
      <c r="H99" s="169"/>
      <c r="I99" s="170"/>
      <c r="J99" s="151" t="s">
        <v>156</v>
      </c>
      <c r="K99" s="185"/>
      <c r="L99" s="185"/>
      <c r="M99" s="186">
        <v>10</v>
      </c>
      <c r="N99" s="181"/>
      <c r="O99" s="170"/>
      <c r="P99" s="151" t="s">
        <v>156</v>
      </c>
      <c r="Q99" s="185"/>
      <c r="R99" s="185"/>
      <c r="S99" s="186">
        <v>24</v>
      </c>
      <c r="T99" s="181"/>
      <c r="U99" s="93"/>
      <c r="V99" s="3" t="s">
        <v>9</v>
      </c>
      <c r="W99" s="2"/>
      <c r="X99" s="5">
        <v>10</v>
      </c>
      <c r="Y99" s="19" t="s">
        <v>10</v>
      </c>
      <c r="Z99" s="93"/>
      <c r="AA99" s="93"/>
      <c r="AB99" s="93"/>
      <c r="AC99" s="93"/>
      <c r="AD99" s="93"/>
      <c r="AE99" s="93"/>
    </row>
    <row r="100" spans="1:31" x14ac:dyDescent="0.2">
      <c r="A100" s="89"/>
      <c r="B100" s="89"/>
      <c r="C100" s="3" t="s">
        <v>157</v>
      </c>
      <c r="D100" s="2"/>
      <c r="E100" s="2"/>
      <c r="F100" s="187">
        <v>600</v>
      </c>
      <c r="G100" s="90"/>
      <c r="H100" s="169"/>
      <c r="I100" s="170"/>
      <c r="J100" s="83" t="s">
        <v>42</v>
      </c>
      <c r="K100" s="188"/>
      <c r="L100" s="188"/>
      <c r="M100" s="189">
        <f>ROUND(M99*1000/M98,-1)</f>
        <v>170</v>
      </c>
      <c r="N100" s="181"/>
      <c r="O100" s="170"/>
      <c r="P100" s="83" t="s">
        <v>42</v>
      </c>
      <c r="Q100" s="188"/>
      <c r="R100" s="188"/>
      <c r="S100" s="189">
        <f>ROUND(S99*1000/S98,-1)</f>
        <v>160</v>
      </c>
      <c r="T100" s="190"/>
      <c r="U100" s="93"/>
      <c r="V100" s="4" t="s">
        <v>44</v>
      </c>
      <c r="W100" s="16"/>
      <c r="X100" s="17">
        <v>0.06</v>
      </c>
      <c r="Y100" s="19"/>
      <c r="Z100" s="93"/>
      <c r="AA100" s="93"/>
      <c r="AB100" s="93"/>
      <c r="AC100" s="93"/>
      <c r="AD100" s="93"/>
      <c r="AE100" s="93"/>
    </row>
    <row r="101" spans="1:31" x14ac:dyDescent="0.2">
      <c r="A101" s="89"/>
      <c r="B101" s="89"/>
      <c r="C101" s="145" t="s">
        <v>158</v>
      </c>
      <c r="D101" s="112"/>
      <c r="E101" s="112"/>
      <c r="F101" s="191">
        <f>ROUND(3600/7*6,-1)</f>
        <v>3090</v>
      </c>
      <c r="G101" s="90"/>
      <c r="H101" s="169"/>
      <c r="I101" s="170"/>
      <c r="J101" s="192" t="s">
        <v>158</v>
      </c>
      <c r="K101" s="193"/>
      <c r="L101" s="193"/>
      <c r="M101" s="194">
        <f>M100*2.5*60</f>
        <v>25500</v>
      </c>
      <c r="N101" s="181"/>
      <c r="O101" s="170"/>
      <c r="P101" s="192" t="s">
        <v>158</v>
      </c>
      <c r="Q101" s="193"/>
      <c r="R101" s="193"/>
      <c r="S101" s="194">
        <f>ROUND(3600/2.25*6,-2)</f>
        <v>9600</v>
      </c>
      <c r="T101" s="170"/>
      <c r="U101" s="93"/>
      <c r="V101" s="22" t="s">
        <v>36</v>
      </c>
      <c r="W101" s="2"/>
      <c r="X101" s="23">
        <f>X98/X99+X98*0.5*X100</f>
        <v>91000</v>
      </c>
      <c r="Y101" s="19" t="s">
        <v>11</v>
      </c>
      <c r="Z101" s="93"/>
      <c r="AA101" s="93"/>
      <c r="AB101" s="93"/>
      <c r="AC101" s="93"/>
      <c r="AD101" s="93"/>
      <c r="AE101" s="93"/>
    </row>
    <row r="102" spans="1:31" x14ac:dyDescent="0.2">
      <c r="A102" s="89"/>
      <c r="B102" s="89"/>
      <c r="C102" s="4" t="s">
        <v>42</v>
      </c>
      <c r="D102" s="16"/>
      <c r="E102" s="16"/>
      <c r="F102" s="195">
        <f>1000/F98*F100/F99</f>
        <v>55.55555555555555</v>
      </c>
      <c r="G102" s="90"/>
      <c r="H102" s="169"/>
      <c r="I102" s="170"/>
      <c r="J102" s="170"/>
      <c r="K102" s="170"/>
      <c r="L102" s="170"/>
      <c r="M102" s="170"/>
      <c r="N102" s="190"/>
      <c r="O102" s="170"/>
      <c r="P102" s="170"/>
      <c r="Q102" s="170"/>
      <c r="R102" s="170"/>
      <c r="S102" s="170"/>
      <c r="T102" s="170"/>
      <c r="U102" s="93"/>
      <c r="V102" s="3"/>
      <c r="W102" s="2"/>
      <c r="X102" s="5"/>
      <c r="Y102" s="19"/>
      <c r="Z102" s="93"/>
      <c r="AA102" s="93"/>
      <c r="AB102" s="93"/>
      <c r="AC102" s="93"/>
      <c r="AD102" s="93"/>
      <c r="AE102" s="93"/>
    </row>
    <row r="103" spans="1:31" x14ac:dyDescent="0.2">
      <c r="A103" s="89"/>
      <c r="B103" s="89"/>
      <c r="C103" s="89"/>
      <c r="D103" s="89"/>
      <c r="E103" s="89"/>
      <c r="F103" s="90"/>
      <c r="G103" s="90"/>
      <c r="H103" s="169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96"/>
      <c r="U103" s="93"/>
      <c r="V103" s="3" t="s">
        <v>15</v>
      </c>
      <c r="W103" s="2"/>
      <c r="X103" s="5">
        <f>375/10</f>
        <v>37.5</v>
      </c>
      <c r="Y103" s="19" t="s">
        <v>13</v>
      </c>
      <c r="Z103" s="93"/>
      <c r="AA103" s="93"/>
      <c r="AB103" s="93"/>
      <c r="AC103" s="93"/>
      <c r="AD103" s="93"/>
      <c r="AE103" s="93"/>
    </row>
    <row r="104" spans="1:31" x14ac:dyDescent="0.2">
      <c r="A104" s="89"/>
      <c r="B104" s="89"/>
      <c r="C104" s="89"/>
      <c r="D104" s="89"/>
      <c r="E104" s="89"/>
      <c r="F104" s="90"/>
      <c r="G104" s="90"/>
      <c r="H104" s="169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96"/>
      <c r="U104" s="93"/>
      <c r="V104" s="3" t="s">
        <v>12</v>
      </c>
      <c r="W104" s="2"/>
      <c r="X104" s="5">
        <v>1400</v>
      </c>
      <c r="Y104" s="19" t="s">
        <v>0</v>
      </c>
      <c r="Z104" s="93"/>
      <c r="AA104" s="93"/>
      <c r="AB104" s="93"/>
      <c r="AC104" s="93"/>
      <c r="AD104" s="93"/>
      <c r="AE104" s="93"/>
    </row>
    <row r="105" spans="1:31" ht="15.75" x14ac:dyDescent="0.25">
      <c r="A105" s="89"/>
      <c r="B105" s="180" t="s">
        <v>159</v>
      </c>
      <c r="C105" s="89"/>
      <c r="D105" s="89"/>
      <c r="E105" s="89"/>
      <c r="F105" s="90"/>
      <c r="G105" s="90"/>
      <c r="H105" s="169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96"/>
      <c r="U105" s="93"/>
      <c r="V105" s="4" t="s">
        <v>14</v>
      </c>
      <c r="W105" s="16"/>
      <c r="X105" s="6">
        <f>75000/10</f>
        <v>7500</v>
      </c>
      <c r="Y105" s="19" t="s">
        <v>11</v>
      </c>
      <c r="Z105" s="93"/>
      <c r="AA105" s="93"/>
      <c r="AB105" s="93"/>
      <c r="AC105" s="93"/>
      <c r="AD105" s="93"/>
      <c r="AE105" s="93"/>
    </row>
    <row r="106" spans="1:31" x14ac:dyDescent="0.2">
      <c r="A106" s="89"/>
      <c r="B106" s="89"/>
      <c r="C106" s="89"/>
      <c r="D106" s="89"/>
      <c r="E106" s="89"/>
      <c r="F106" s="90"/>
      <c r="G106" s="90"/>
      <c r="H106" s="169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96"/>
      <c r="U106" s="93"/>
      <c r="V106" s="22" t="s">
        <v>16</v>
      </c>
      <c r="W106" s="2"/>
      <c r="X106" s="23">
        <f>X103*X104+X105</f>
        <v>60000</v>
      </c>
      <c r="Y106" s="19" t="s">
        <v>11</v>
      </c>
      <c r="Z106" s="93"/>
      <c r="AA106" s="93"/>
      <c r="AB106" s="93"/>
      <c r="AC106" s="93"/>
      <c r="AD106" s="93"/>
      <c r="AE106" s="93"/>
    </row>
    <row r="107" spans="1:31" x14ac:dyDescent="0.2">
      <c r="A107" s="89"/>
      <c r="B107" s="89"/>
      <c r="C107" s="89"/>
      <c r="D107" s="89"/>
      <c r="E107" s="89"/>
      <c r="F107" s="90"/>
      <c r="G107" s="90"/>
      <c r="H107" s="169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96"/>
      <c r="U107" s="93"/>
      <c r="V107" s="3"/>
      <c r="W107" s="2"/>
      <c r="X107" s="5"/>
      <c r="Y107" s="19"/>
      <c r="Z107" s="93"/>
      <c r="AA107" s="93"/>
      <c r="AB107" s="93"/>
      <c r="AC107" s="93"/>
      <c r="AD107" s="93"/>
      <c r="AE107" s="93"/>
    </row>
    <row r="108" spans="1:31" ht="13.5" thickBot="1" x14ac:dyDescent="0.25">
      <c r="A108" s="89"/>
      <c r="B108" s="89"/>
      <c r="C108" s="197" t="s">
        <v>160</v>
      </c>
      <c r="D108" s="198"/>
      <c r="E108" s="198"/>
      <c r="F108" s="199">
        <f>13.6/(1000)</f>
        <v>1.3599999999999999E-2</v>
      </c>
      <c r="G108" s="90"/>
      <c r="H108" s="169"/>
      <c r="I108" s="170"/>
      <c r="J108" s="200" t="s">
        <v>107</v>
      </c>
      <c r="K108" s="198"/>
      <c r="L108" s="198"/>
      <c r="M108" s="201"/>
      <c r="N108" s="170"/>
      <c r="O108" s="170"/>
      <c r="P108" s="200" t="s">
        <v>107</v>
      </c>
      <c r="Q108" s="198"/>
      <c r="R108" s="198"/>
      <c r="S108" s="201"/>
      <c r="T108" s="196"/>
      <c r="U108" s="93"/>
      <c r="V108" s="7" t="s">
        <v>17</v>
      </c>
      <c r="W108" s="18"/>
      <c r="X108" s="8">
        <f>X101+X106</f>
        <v>151000</v>
      </c>
      <c r="Y108" s="19" t="s">
        <v>11</v>
      </c>
      <c r="Z108" s="93"/>
      <c r="AA108" s="93"/>
      <c r="AB108" s="93"/>
      <c r="AC108" s="93"/>
      <c r="AD108" s="93"/>
      <c r="AE108" s="93"/>
    </row>
    <row r="109" spans="1:31" ht="13.5" thickTop="1" x14ac:dyDescent="0.2">
      <c r="A109" s="89"/>
      <c r="B109" s="89"/>
      <c r="C109" s="151" t="s">
        <v>161</v>
      </c>
      <c r="D109" s="112"/>
      <c r="E109" s="112"/>
      <c r="F109" s="202">
        <f>10.1/(1000)</f>
        <v>1.01E-2</v>
      </c>
      <c r="G109" s="90"/>
      <c r="H109" s="169"/>
      <c r="I109" s="170"/>
      <c r="J109" s="145" t="s">
        <v>162</v>
      </c>
      <c r="K109" s="112"/>
      <c r="L109" s="112"/>
      <c r="M109" s="203">
        <v>0.77</v>
      </c>
      <c r="N109" s="170"/>
      <c r="O109" s="170"/>
      <c r="P109" s="145" t="s">
        <v>162</v>
      </c>
      <c r="Q109" s="112"/>
      <c r="R109" s="112"/>
      <c r="S109" s="203">
        <v>1.5</v>
      </c>
      <c r="T109" s="196"/>
      <c r="U109" s="93"/>
      <c r="V109" s="3"/>
      <c r="W109" s="2"/>
      <c r="X109" s="5"/>
      <c r="Y109" s="19"/>
      <c r="Z109" s="93"/>
      <c r="AA109" s="93"/>
      <c r="AB109" s="93"/>
      <c r="AC109" s="93"/>
      <c r="AD109" s="93"/>
      <c r="AE109" s="93"/>
    </row>
    <row r="110" spans="1:31" x14ac:dyDescent="0.2">
      <c r="A110" s="89"/>
      <c r="B110" s="89"/>
      <c r="C110" s="204" t="s">
        <v>163</v>
      </c>
      <c r="D110" s="205"/>
      <c r="E110" s="205"/>
      <c r="F110" s="206">
        <f>F100/F99</f>
        <v>5</v>
      </c>
      <c r="G110" s="90"/>
      <c r="H110" s="169"/>
      <c r="I110" s="170"/>
      <c r="J110" s="207" t="s">
        <v>164</v>
      </c>
      <c r="K110" s="205"/>
      <c r="L110" s="205"/>
      <c r="M110" s="206">
        <v>10</v>
      </c>
      <c r="N110" s="170"/>
      <c r="O110" s="170"/>
      <c r="P110" s="207" t="s">
        <v>164</v>
      </c>
      <c r="Q110" s="205"/>
      <c r="R110" s="205"/>
      <c r="S110" s="206">
        <v>24</v>
      </c>
      <c r="T110" s="196"/>
      <c r="U110" s="93"/>
      <c r="V110" s="3"/>
      <c r="W110" s="2"/>
      <c r="X110" s="5"/>
      <c r="Y110" s="19"/>
      <c r="Z110" s="93"/>
      <c r="AA110" s="93"/>
      <c r="AB110" s="93"/>
      <c r="AC110" s="93"/>
      <c r="AD110" s="93"/>
      <c r="AE110" s="93"/>
    </row>
    <row r="111" spans="1:31" x14ac:dyDescent="0.2">
      <c r="A111" s="89"/>
      <c r="B111" s="89"/>
      <c r="C111" s="151" t="s">
        <v>165</v>
      </c>
      <c r="D111" s="112"/>
      <c r="E111" s="112"/>
      <c r="F111" s="208">
        <v>4</v>
      </c>
      <c r="G111" s="90"/>
      <c r="H111" s="169"/>
      <c r="I111" s="170"/>
      <c r="J111" s="151" t="s">
        <v>41</v>
      </c>
      <c r="K111" s="112"/>
      <c r="L111" s="112"/>
      <c r="M111" s="208">
        <v>4</v>
      </c>
      <c r="N111" s="170"/>
      <c r="O111" s="170"/>
      <c r="P111" s="151" t="s">
        <v>41</v>
      </c>
      <c r="Q111" s="112"/>
      <c r="R111" s="112"/>
      <c r="S111" s="208">
        <v>4</v>
      </c>
      <c r="T111" s="196"/>
      <c r="U111" s="93"/>
      <c r="V111" s="3" t="s">
        <v>18</v>
      </c>
      <c r="W111" s="2"/>
      <c r="X111" s="5">
        <f>100000/10</f>
        <v>10000</v>
      </c>
      <c r="Y111" s="19" t="s">
        <v>11</v>
      </c>
      <c r="Z111" s="93"/>
      <c r="AA111" s="93"/>
      <c r="AB111" s="93"/>
      <c r="AC111" s="93"/>
      <c r="AD111" s="93"/>
      <c r="AE111" s="93"/>
    </row>
    <row r="112" spans="1:31" ht="13.5" thickBot="1" x14ac:dyDescent="0.25">
      <c r="A112" s="89"/>
      <c r="B112" s="89"/>
      <c r="C112" s="209" t="s">
        <v>40</v>
      </c>
      <c r="D112" s="210"/>
      <c r="E112" s="210"/>
      <c r="F112" s="211">
        <f>(F109+F108/F110)/F111</f>
        <v>3.2049999999999999E-3</v>
      </c>
      <c r="G112" s="90"/>
      <c r="H112" s="169"/>
      <c r="I112" s="170"/>
      <c r="J112" s="209" t="s">
        <v>166</v>
      </c>
      <c r="K112" s="210"/>
      <c r="L112" s="210"/>
      <c r="M112" s="211">
        <f>M109/(M110*M111)</f>
        <v>1.925E-2</v>
      </c>
      <c r="N112" s="170"/>
      <c r="O112" s="170"/>
      <c r="P112" s="209" t="s">
        <v>166</v>
      </c>
      <c r="Q112" s="210"/>
      <c r="R112" s="210"/>
      <c r="S112" s="211">
        <f>S109/(S110*S111)</f>
        <v>1.5625E-2</v>
      </c>
      <c r="T112" s="196"/>
      <c r="U112" s="93"/>
      <c r="V112" s="3" t="s">
        <v>21</v>
      </c>
      <c r="W112" s="2"/>
      <c r="X112" s="5">
        <f>25000/10</f>
        <v>2500</v>
      </c>
      <c r="Y112" s="19" t="s">
        <v>11</v>
      </c>
      <c r="Z112" s="93"/>
      <c r="AA112" s="93"/>
      <c r="AB112" s="93"/>
      <c r="AC112" s="93"/>
      <c r="AD112" s="93"/>
      <c r="AE112" s="93"/>
    </row>
    <row r="113" spans="1:31" ht="13.5" thickTop="1" x14ac:dyDescent="0.2">
      <c r="A113" s="89"/>
      <c r="B113" s="89"/>
      <c r="C113" s="89"/>
      <c r="D113" s="89"/>
      <c r="E113" s="89"/>
      <c r="F113" s="90"/>
      <c r="G113" s="90"/>
      <c r="H113" s="169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96"/>
      <c r="U113" s="93"/>
      <c r="V113" s="3" t="s">
        <v>22</v>
      </c>
      <c r="W113" s="2"/>
      <c r="X113" s="5">
        <f>25000/10</f>
        <v>2500</v>
      </c>
      <c r="Y113" s="19" t="s">
        <v>11</v>
      </c>
      <c r="Z113" s="93"/>
      <c r="AA113" s="93"/>
      <c r="AB113" s="93"/>
      <c r="AC113" s="93"/>
      <c r="AD113" s="93"/>
      <c r="AE113" s="93"/>
    </row>
    <row r="114" spans="1:31" x14ac:dyDescent="0.2">
      <c r="A114" s="89"/>
      <c r="B114" s="89"/>
      <c r="C114" s="89"/>
      <c r="D114" s="89"/>
      <c r="E114" s="89"/>
      <c r="F114" s="89"/>
      <c r="G114" s="90"/>
      <c r="H114" s="169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96"/>
      <c r="U114" s="93"/>
      <c r="V114" s="3" t="s">
        <v>23</v>
      </c>
      <c r="W114" s="2"/>
      <c r="X114" s="5">
        <f>20000/10</f>
        <v>2000</v>
      </c>
      <c r="Y114" s="19" t="s">
        <v>11</v>
      </c>
      <c r="Z114" s="93"/>
      <c r="AA114" s="93"/>
      <c r="AB114" s="93"/>
      <c r="AC114" s="93"/>
      <c r="AD114" s="93"/>
      <c r="AE114" s="93"/>
    </row>
    <row r="115" spans="1:31" x14ac:dyDescent="0.2">
      <c r="A115" s="89"/>
      <c r="B115" s="89"/>
      <c r="C115" s="89"/>
      <c r="D115" s="89"/>
      <c r="E115" s="89"/>
      <c r="F115" s="89"/>
      <c r="G115" s="90"/>
      <c r="H115" s="169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96"/>
      <c r="U115" s="93"/>
      <c r="V115" s="4" t="s">
        <v>19</v>
      </c>
      <c r="W115" s="16"/>
      <c r="X115" s="6">
        <f>20000/10</f>
        <v>2000</v>
      </c>
      <c r="Y115" s="19" t="s">
        <v>11</v>
      </c>
      <c r="Z115" s="93"/>
      <c r="AA115" s="93"/>
      <c r="AB115" s="93"/>
      <c r="AC115" s="93"/>
      <c r="AD115" s="93"/>
      <c r="AE115" s="93"/>
    </row>
    <row r="116" spans="1:31" x14ac:dyDescent="0.2">
      <c r="A116" s="89"/>
      <c r="B116" s="89"/>
      <c r="C116" s="89"/>
      <c r="D116" s="89"/>
      <c r="E116" s="89"/>
      <c r="F116" s="89"/>
      <c r="G116" s="90"/>
      <c r="H116" s="169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96"/>
      <c r="U116" s="93"/>
      <c r="V116" s="22" t="s">
        <v>20</v>
      </c>
      <c r="W116" s="2"/>
      <c r="X116" s="23">
        <f>SUM(X111:X115)</f>
        <v>19000</v>
      </c>
      <c r="Y116" s="24" t="s">
        <v>11</v>
      </c>
      <c r="Z116" s="93"/>
      <c r="AA116" s="93"/>
      <c r="AB116" s="93"/>
      <c r="AC116" s="93"/>
      <c r="AD116" s="93"/>
      <c r="AE116" s="93"/>
    </row>
    <row r="117" spans="1:31" x14ac:dyDescent="0.2">
      <c r="A117" s="89"/>
      <c r="B117" s="89"/>
      <c r="C117" s="89"/>
      <c r="D117" s="89"/>
      <c r="E117" s="89"/>
      <c r="F117" s="90"/>
      <c r="G117" s="90"/>
      <c r="H117" s="169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212"/>
      <c r="U117" s="93"/>
      <c r="V117" s="3"/>
      <c r="W117" s="2"/>
      <c r="X117" s="5"/>
      <c r="Y117" s="19"/>
      <c r="Z117" s="93"/>
      <c r="AA117" s="93"/>
      <c r="AB117" s="93"/>
      <c r="AC117" s="93"/>
      <c r="AD117" s="93"/>
      <c r="AE117" s="93"/>
    </row>
    <row r="118" spans="1:31" x14ac:dyDescent="0.2">
      <c r="A118" s="89"/>
      <c r="B118" s="89"/>
      <c r="C118" s="89"/>
      <c r="D118" s="89"/>
      <c r="E118" s="89"/>
      <c r="F118" s="90"/>
      <c r="G118" s="90"/>
      <c r="H118" s="169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93"/>
      <c r="V118" s="3" t="s">
        <v>24</v>
      </c>
      <c r="W118" s="2"/>
      <c r="X118" s="5">
        <f>300000/10</f>
        <v>30000</v>
      </c>
      <c r="Y118" s="19" t="s">
        <v>11</v>
      </c>
      <c r="Z118" s="93"/>
      <c r="AA118" s="93"/>
      <c r="AB118" s="93"/>
      <c r="AC118" s="93"/>
      <c r="AD118" s="93"/>
      <c r="AE118" s="93"/>
    </row>
    <row r="119" spans="1:31" x14ac:dyDescent="0.2">
      <c r="A119" s="89"/>
      <c r="B119" s="89"/>
      <c r="C119" s="89"/>
      <c r="D119" s="89"/>
      <c r="E119" s="89"/>
      <c r="F119" s="90"/>
      <c r="G119" s="90"/>
      <c r="H119" s="169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93"/>
      <c r="V119" s="3" t="s">
        <v>25</v>
      </c>
      <c r="W119" s="2"/>
      <c r="X119" s="5">
        <f>10000/10</f>
        <v>1000</v>
      </c>
      <c r="Y119" s="19" t="s">
        <v>11</v>
      </c>
      <c r="Z119" s="93"/>
      <c r="AA119" s="93"/>
      <c r="AB119" s="93"/>
      <c r="AC119" s="93"/>
      <c r="AD119" s="93"/>
      <c r="AE119" s="93"/>
    </row>
    <row r="120" spans="1:31" x14ac:dyDescent="0.2">
      <c r="A120" s="89"/>
      <c r="B120" s="89"/>
      <c r="C120" s="89"/>
      <c r="D120" s="89"/>
      <c r="E120" s="89"/>
      <c r="F120" s="90"/>
      <c r="G120" s="90"/>
      <c r="H120" s="169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93"/>
      <c r="V120" s="3" t="s">
        <v>1</v>
      </c>
      <c r="W120" s="2"/>
      <c r="X120" s="5">
        <v>0</v>
      </c>
      <c r="Y120" s="19" t="s">
        <v>11</v>
      </c>
      <c r="Z120" s="93"/>
      <c r="AA120" s="93"/>
      <c r="AB120" s="93"/>
      <c r="AC120" s="93"/>
      <c r="AD120" s="93"/>
      <c r="AE120" s="93"/>
    </row>
    <row r="121" spans="1:31" x14ac:dyDescent="0.2">
      <c r="A121" s="89"/>
      <c r="B121" s="89"/>
      <c r="C121" s="89"/>
      <c r="D121" s="89"/>
      <c r="E121" s="89"/>
      <c r="F121" s="90"/>
      <c r="G121" s="90"/>
      <c r="H121" s="169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93"/>
      <c r="V121" s="3" t="s">
        <v>26</v>
      </c>
      <c r="W121" s="2"/>
      <c r="X121" s="5">
        <v>700</v>
      </c>
      <c r="Y121" s="19" t="s">
        <v>39</v>
      </c>
      <c r="Z121" s="93"/>
      <c r="AA121" s="93"/>
      <c r="AB121" s="93"/>
      <c r="AC121" s="93"/>
      <c r="AD121" s="93"/>
      <c r="AE121" s="93"/>
    </row>
    <row r="122" spans="1:31" x14ac:dyDescent="0.2">
      <c r="A122" s="89"/>
      <c r="B122" s="89"/>
      <c r="C122" s="89"/>
      <c r="D122" s="89"/>
      <c r="E122" s="89"/>
      <c r="F122" s="90"/>
      <c r="G122" s="90"/>
      <c r="H122" s="169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93"/>
      <c r="V122" s="3" t="s">
        <v>27</v>
      </c>
      <c r="W122" s="2"/>
      <c r="X122" s="25">
        <f>0.8/10</f>
        <v>0.08</v>
      </c>
      <c r="Y122" s="19" t="s">
        <v>30</v>
      </c>
      <c r="Z122" s="93"/>
      <c r="AA122" s="93"/>
      <c r="AB122" s="93"/>
      <c r="AC122" s="93"/>
      <c r="AD122" s="93"/>
      <c r="AE122" s="93"/>
    </row>
    <row r="123" spans="1:31" x14ac:dyDescent="0.2">
      <c r="A123" s="89"/>
      <c r="B123" s="89"/>
      <c r="C123" s="89"/>
      <c r="D123" s="89"/>
      <c r="E123" s="89"/>
      <c r="F123" s="90"/>
      <c r="G123" s="90"/>
      <c r="H123" s="169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93"/>
      <c r="V123" s="4" t="s">
        <v>28</v>
      </c>
      <c r="W123" s="16"/>
      <c r="X123" s="6">
        <v>3600</v>
      </c>
      <c r="Y123" s="19" t="s">
        <v>38</v>
      </c>
      <c r="Z123" s="93"/>
      <c r="AA123" s="93"/>
      <c r="AB123" s="93"/>
      <c r="AC123" s="93"/>
      <c r="AD123" s="93"/>
      <c r="AE123" s="93"/>
    </row>
    <row r="124" spans="1:31" x14ac:dyDescent="0.2">
      <c r="A124" s="89"/>
      <c r="B124" s="89"/>
      <c r="C124" s="89"/>
      <c r="D124" s="89"/>
      <c r="E124" s="89"/>
      <c r="F124" s="90"/>
      <c r="G124" s="90"/>
      <c r="H124" s="169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93"/>
      <c r="V124" s="22" t="s">
        <v>29</v>
      </c>
      <c r="W124" s="2"/>
      <c r="X124" s="23">
        <f>X118+X119+(X121*X122*X123)</f>
        <v>232600</v>
      </c>
      <c r="Y124" s="24" t="s">
        <v>11</v>
      </c>
      <c r="Z124" s="93"/>
      <c r="AA124" s="93"/>
      <c r="AB124" s="93"/>
      <c r="AC124" s="93"/>
      <c r="AD124" s="93"/>
      <c r="AE124" s="93"/>
    </row>
    <row r="125" spans="1:31" ht="15.75" x14ac:dyDescent="0.25">
      <c r="A125" s="89"/>
      <c r="B125" s="180" t="s">
        <v>3</v>
      </c>
      <c r="C125" s="89"/>
      <c r="D125" s="89"/>
      <c r="E125" s="89"/>
      <c r="F125" s="90"/>
      <c r="G125" s="90"/>
      <c r="H125" s="169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93"/>
      <c r="V125" s="3"/>
      <c r="W125" s="16"/>
      <c r="X125" s="5"/>
      <c r="Y125" s="19"/>
      <c r="Z125" s="93"/>
      <c r="AA125" s="93"/>
      <c r="AB125" s="93"/>
      <c r="AC125" s="93"/>
      <c r="AD125" s="93"/>
      <c r="AE125" s="93"/>
    </row>
    <row r="126" spans="1:31" ht="13.5" thickBot="1" x14ac:dyDescent="0.25">
      <c r="A126" s="89"/>
      <c r="B126" s="89"/>
      <c r="C126" s="89"/>
      <c r="D126" s="89"/>
      <c r="E126" s="89"/>
      <c r="F126" s="90"/>
      <c r="G126" s="213"/>
      <c r="H126" s="169"/>
      <c r="I126" s="170"/>
      <c r="J126" s="170"/>
      <c r="K126" s="170"/>
      <c r="L126" s="170"/>
      <c r="M126" s="170"/>
      <c r="N126" s="196"/>
      <c r="O126" s="170"/>
      <c r="P126" s="170"/>
      <c r="Q126" s="170"/>
      <c r="R126" s="170"/>
      <c r="S126" s="170"/>
      <c r="T126" s="196"/>
      <c r="U126" s="93"/>
      <c r="V126" s="7" t="s">
        <v>31</v>
      </c>
      <c r="W126" s="18"/>
      <c r="X126" s="8">
        <f>X116+X124</f>
        <v>251600</v>
      </c>
      <c r="Y126" s="24" t="s">
        <v>11</v>
      </c>
      <c r="Z126" s="93"/>
      <c r="AA126" s="93"/>
      <c r="AB126" s="93"/>
      <c r="AC126" s="93"/>
      <c r="AD126" s="93"/>
      <c r="AE126" s="93"/>
    </row>
    <row r="127" spans="1:31" ht="16.5" thickTop="1" x14ac:dyDescent="0.25">
      <c r="A127" s="89"/>
      <c r="B127" s="180"/>
      <c r="C127" s="89"/>
      <c r="D127" s="89"/>
      <c r="E127" s="89"/>
      <c r="F127" s="90"/>
      <c r="G127" s="213"/>
      <c r="H127" s="169"/>
      <c r="I127" s="170"/>
      <c r="J127" s="170"/>
      <c r="K127" s="170"/>
      <c r="L127" s="170"/>
      <c r="M127" s="170"/>
      <c r="N127" s="196"/>
      <c r="O127" s="170"/>
      <c r="P127" s="170"/>
      <c r="Q127" s="170"/>
      <c r="R127" s="170"/>
      <c r="S127" s="170"/>
      <c r="T127" s="196"/>
      <c r="U127" s="93"/>
      <c r="V127" s="3"/>
      <c r="W127" s="2"/>
      <c r="X127" s="5"/>
      <c r="Y127" s="19"/>
      <c r="Z127" s="93"/>
      <c r="AA127" s="93"/>
      <c r="AB127" s="93"/>
      <c r="AC127" s="93"/>
      <c r="AD127" s="93"/>
      <c r="AE127" s="93"/>
    </row>
    <row r="128" spans="1:31" x14ac:dyDescent="0.2">
      <c r="A128" s="89"/>
      <c r="B128" s="89"/>
      <c r="C128" s="89"/>
      <c r="D128" s="89"/>
      <c r="E128" s="89"/>
      <c r="F128" s="90"/>
      <c r="G128" s="213"/>
      <c r="H128" s="169"/>
      <c r="I128" s="170"/>
      <c r="J128" s="170"/>
      <c r="K128" s="170"/>
      <c r="L128" s="170"/>
      <c r="M128" s="170"/>
      <c r="N128" s="196"/>
      <c r="O128" s="170"/>
      <c r="P128" s="170"/>
      <c r="Q128" s="170"/>
      <c r="R128" s="170"/>
      <c r="S128" s="170"/>
      <c r="T128" s="196"/>
      <c r="U128" s="93"/>
      <c r="V128" s="3"/>
      <c r="W128" s="2"/>
      <c r="X128" s="5"/>
      <c r="Y128" s="19"/>
      <c r="Z128" s="93"/>
      <c r="AA128" s="93"/>
      <c r="AB128" s="93"/>
      <c r="AC128" s="93"/>
      <c r="AD128" s="93"/>
      <c r="AE128" s="93"/>
    </row>
    <row r="129" spans="1:31" x14ac:dyDescent="0.2">
      <c r="A129" s="89"/>
      <c r="B129" s="89"/>
      <c r="C129" s="89"/>
      <c r="D129" s="89"/>
      <c r="E129" s="89"/>
      <c r="F129" s="90"/>
      <c r="G129" s="213"/>
      <c r="H129" s="169"/>
      <c r="I129" s="170"/>
      <c r="J129" s="214" t="s">
        <v>167</v>
      </c>
      <c r="K129" s="215"/>
      <c r="L129" s="215"/>
      <c r="M129" s="216">
        <f>J50/J51</f>
        <v>0.39215686274509803</v>
      </c>
      <c r="N129" s="217"/>
      <c r="O129" s="170"/>
      <c r="P129" s="214" t="s">
        <v>167</v>
      </c>
      <c r="Q129" s="215"/>
      <c r="R129" s="215"/>
      <c r="S129" s="216">
        <f>P50/P51+M131</f>
        <v>1.3194444444444446</v>
      </c>
      <c r="T129" s="217"/>
      <c r="U129" s="93"/>
      <c r="V129" s="3" t="s">
        <v>3</v>
      </c>
      <c r="W129" s="2"/>
      <c r="X129" s="5">
        <f>125/10</f>
        <v>12.5</v>
      </c>
      <c r="Y129" s="19" t="s">
        <v>32</v>
      </c>
      <c r="Z129" s="93"/>
      <c r="AA129" s="93"/>
      <c r="AB129" s="93"/>
      <c r="AC129" s="93"/>
      <c r="AD129" s="93"/>
      <c r="AE129" s="93"/>
    </row>
    <row r="130" spans="1:31" ht="13.5" thickBot="1" x14ac:dyDescent="0.25">
      <c r="A130" s="89"/>
      <c r="B130" s="89"/>
      <c r="C130" s="214" t="s">
        <v>167</v>
      </c>
      <c r="D130" s="215"/>
      <c r="E130" s="215"/>
      <c r="F130" s="216">
        <f>D50/D51+0.33*(D50/D51)</f>
        <v>4.3042071197411005</v>
      </c>
      <c r="G130" s="90"/>
      <c r="H130" s="169"/>
      <c r="I130" s="170"/>
      <c r="J130" s="151" t="s">
        <v>168</v>
      </c>
      <c r="K130" s="185"/>
      <c r="L130" s="185"/>
      <c r="M130" s="218">
        <f>J50/(3600*6/1.7)</f>
        <v>0.78703703703703698</v>
      </c>
      <c r="N130" s="170"/>
      <c r="O130" s="170"/>
      <c r="P130" s="219" t="s">
        <v>169</v>
      </c>
      <c r="Q130" s="220"/>
      <c r="R130" s="220"/>
      <c r="S130" s="221">
        <f>SUM(S129:S129)*P63</f>
        <v>153.05555555555557</v>
      </c>
      <c r="T130" s="170"/>
      <c r="U130" s="93"/>
      <c r="V130" s="4" t="s">
        <v>33</v>
      </c>
      <c r="W130" s="16"/>
      <c r="X130" s="6">
        <f>X129*(0.4)+X129*0.15</f>
        <v>6.875</v>
      </c>
      <c r="Y130" s="19" t="s">
        <v>32</v>
      </c>
      <c r="Z130" s="93"/>
      <c r="AA130" s="93"/>
      <c r="AB130" s="93"/>
      <c r="AC130" s="93"/>
      <c r="AD130" s="93"/>
      <c r="AE130" s="93"/>
    </row>
    <row r="131" spans="1:31" ht="14.25" thickTop="1" thickBot="1" x14ac:dyDescent="0.25">
      <c r="A131" s="89"/>
      <c r="B131" s="89"/>
      <c r="C131" s="219" t="s">
        <v>169</v>
      </c>
      <c r="D131" s="220"/>
      <c r="E131" s="220"/>
      <c r="F131" s="221">
        <f>(F130)*C62</f>
        <v>499.28802588996768</v>
      </c>
      <c r="G131" s="90"/>
      <c r="H131" s="169"/>
      <c r="I131" s="170"/>
      <c r="J131" s="83" t="s">
        <v>170</v>
      </c>
      <c r="K131" s="188"/>
      <c r="L131" s="188"/>
      <c r="M131" s="222">
        <f>J50/(6*3600/0.6)</f>
        <v>0.27777777777777779</v>
      </c>
      <c r="N131" s="170"/>
      <c r="O131" s="170"/>
      <c r="P131" s="170"/>
      <c r="Q131" s="170"/>
      <c r="R131" s="170"/>
      <c r="S131" s="170"/>
      <c r="T131" s="170"/>
      <c r="U131" s="93"/>
      <c r="V131" s="22" t="s">
        <v>171</v>
      </c>
      <c r="W131" s="2"/>
      <c r="X131" s="23">
        <f>X129+X130</f>
        <v>19.375</v>
      </c>
      <c r="Y131" s="24" t="s">
        <v>32</v>
      </c>
      <c r="Z131" s="93"/>
      <c r="AA131" s="93"/>
      <c r="AB131" s="93"/>
      <c r="AC131" s="93"/>
      <c r="AD131" s="93"/>
      <c r="AE131" s="93"/>
    </row>
    <row r="132" spans="1:31" ht="14.25" thickTop="1" thickBot="1" x14ac:dyDescent="0.25">
      <c r="A132" s="89"/>
      <c r="B132" s="89"/>
      <c r="C132" s="89"/>
      <c r="D132" s="89"/>
      <c r="E132" s="89"/>
      <c r="F132" s="90"/>
      <c r="G132" s="90"/>
      <c r="H132" s="169"/>
      <c r="I132" s="170"/>
      <c r="J132" s="219" t="s">
        <v>169</v>
      </c>
      <c r="K132" s="220"/>
      <c r="L132" s="220"/>
      <c r="M132" s="221">
        <f>SUM(M129:M131)*J63</f>
        <v>169.00871459694989</v>
      </c>
      <c r="N132" s="170"/>
      <c r="O132" s="170"/>
      <c r="P132" s="170"/>
      <c r="Q132" s="170"/>
      <c r="R132" s="170"/>
      <c r="S132" s="170"/>
      <c r="T132" s="170"/>
      <c r="U132" s="93"/>
      <c r="V132" s="3"/>
      <c r="W132" s="2"/>
      <c r="X132" s="5"/>
      <c r="Y132" s="19"/>
      <c r="Z132" s="93"/>
      <c r="AA132" s="93"/>
      <c r="AB132" s="93"/>
      <c r="AC132" s="93"/>
      <c r="AD132" s="93"/>
      <c r="AE132" s="93"/>
    </row>
    <row r="133" spans="1:31" ht="13.5" thickTop="1" x14ac:dyDescent="0.2">
      <c r="A133" s="89"/>
      <c r="B133" s="89"/>
      <c r="C133" s="89"/>
      <c r="D133" s="89"/>
      <c r="E133" s="89"/>
      <c r="F133" s="90"/>
      <c r="G133" s="90"/>
      <c r="H133" s="169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93"/>
      <c r="V133" s="3" t="s">
        <v>130</v>
      </c>
      <c r="W133" s="2"/>
      <c r="X133" s="5">
        <f>50/10</f>
        <v>5</v>
      </c>
      <c r="Y133" s="19" t="s">
        <v>35</v>
      </c>
      <c r="Z133" s="93"/>
      <c r="AA133" s="93"/>
      <c r="AB133" s="93"/>
      <c r="AC133" s="93"/>
      <c r="AD133" s="93"/>
      <c r="AE133" s="93"/>
    </row>
    <row r="134" spans="1:31" x14ac:dyDescent="0.2">
      <c r="A134" s="89"/>
      <c r="B134" s="89"/>
      <c r="C134" s="89"/>
      <c r="D134" s="89"/>
      <c r="E134" s="89"/>
      <c r="F134" s="90"/>
      <c r="G134" s="90"/>
      <c r="H134" s="169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93"/>
      <c r="V134" s="4" t="s">
        <v>34</v>
      </c>
      <c r="W134" s="16"/>
      <c r="X134" s="223">
        <v>0.45</v>
      </c>
      <c r="Y134" s="19" t="s">
        <v>172</v>
      </c>
      <c r="Z134" s="93"/>
      <c r="AA134" s="93"/>
      <c r="AB134" s="93"/>
      <c r="AC134" s="93"/>
      <c r="AD134" s="93"/>
      <c r="AE134" s="93"/>
    </row>
    <row r="135" spans="1:31" x14ac:dyDescent="0.2">
      <c r="A135" s="89"/>
      <c r="B135" s="89"/>
      <c r="C135" s="89"/>
      <c r="D135" s="89"/>
      <c r="E135" s="89"/>
      <c r="F135" s="90"/>
      <c r="G135" s="90"/>
      <c r="H135" s="169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93"/>
      <c r="V135" s="224" t="s">
        <v>173</v>
      </c>
      <c r="W135" s="16"/>
      <c r="X135" s="225">
        <f>X134/1000*X133</f>
        <v>2.2499999999999998E-3</v>
      </c>
      <c r="Y135" s="226" t="s">
        <v>4</v>
      </c>
      <c r="Z135" s="93"/>
      <c r="AA135" s="93"/>
      <c r="AB135" s="93"/>
      <c r="AC135" s="93"/>
      <c r="AD135" s="93"/>
      <c r="AE135" s="93"/>
    </row>
    <row r="136" spans="1:31" x14ac:dyDescent="0.2">
      <c r="A136" s="89"/>
      <c r="B136" s="89"/>
      <c r="C136" s="89"/>
      <c r="D136" s="89"/>
      <c r="E136" s="89"/>
      <c r="F136" s="90"/>
      <c r="G136" s="90"/>
      <c r="H136" s="169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</row>
    <row r="137" spans="1:31" x14ac:dyDescent="0.2">
      <c r="A137" s="89"/>
      <c r="B137" s="89"/>
      <c r="C137" s="89"/>
      <c r="D137" s="89"/>
      <c r="E137" s="89"/>
      <c r="F137" s="90"/>
      <c r="G137" s="90"/>
      <c r="H137" s="169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</row>
    <row r="141" spans="1:31" x14ac:dyDescent="0.2">
      <c r="B141" s="227" t="s">
        <v>174</v>
      </c>
    </row>
    <row r="144" spans="1:31" x14ac:dyDescent="0.2">
      <c r="B144" s="229" t="s">
        <v>175</v>
      </c>
      <c r="C144" s="229" t="s">
        <v>176</v>
      </c>
      <c r="D144" s="229" t="s">
        <v>177</v>
      </c>
    </row>
    <row r="145" spans="2:23" x14ac:dyDescent="0.2">
      <c r="B145">
        <v>1</v>
      </c>
      <c r="C145">
        <v>9.8000000000000004E-2</v>
      </c>
      <c r="D145">
        <v>8.6999999999999994E-2</v>
      </c>
    </row>
    <row r="146" spans="2:23" x14ac:dyDescent="0.2">
      <c r="B146">
        <v>2</v>
      </c>
      <c r="C146">
        <v>9.0999999999999998E-2</v>
      </c>
      <c r="D146">
        <v>5.6000000000000001E-2</v>
      </c>
    </row>
    <row r="147" spans="2:23" x14ac:dyDescent="0.2">
      <c r="B147">
        <v>3</v>
      </c>
      <c r="C147">
        <v>8.8999999999999996E-2</v>
      </c>
      <c r="D147">
        <v>4.5999999999999999E-2</v>
      </c>
    </row>
    <row r="148" spans="2:23" x14ac:dyDescent="0.2">
      <c r="B148">
        <v>4</v>
      </c>
      <c r="C148">
        <v>8.7999999999999995E-2</v>
      </c>
      <c r="D148">
        <v>4.1000000000000002E-2</v>
      </c>
    </row>
    <row r="149" spans="2:23" x14ac:dyDescent="0.2">
      <c r="B149">
        <v>5</v>
      </c>
      <c r="C149">
        <v>8.7499999999999994E-2</v>
      </c>
      <c r="D149">
        <v>3.6999999999999998E-2</v>
      </c>
    </row>
    <row r="150" spans="2:23" x14ac:dyDescent="0.2">
      <c r="B150">
        <v>6</v>
      </c>
      <c r="C150">
        <v>8.6999999999999994E-2</v>
      </c>
      <c r="D150">
        <v>3.5000000000000003E-2</v>
      </c>
    </row>
    <row r="151" spans="2:23" x14ac:dyDescent="0.2">
      <c r="B151">
        <v>7</v>
      </c>
      <c r="C151">
        <v>8.6900000000000005E-2</v>
      </c>
      <c r="D151">
        <v>3.4000000000000002E-2</v>
      </c>
    </row>
    <row r="159" spans="2:23" x14ac:dyDescent="0.2">
      <c r="W159" s="227" t="s">
        <v>132</v>
      </c>
    </row>
  </sheetData>
  <mergeCells count="15">
    <mergeCell ref="W31:AD31"/>
    <mergeCell ref="W33:AC35"/>
    <mergeCell ref="W36:AC37"/>
    <mergeCell ref="W39:AC39"/>
    <mergeCell ref="I26:M26"/>
    <mergeCell ref="O26:S26"/>
    <mergeCell ref="I27:M27"/>
    <mergeCell ref="O27:S27"/>
    <mergeCell ref="I28:M28"/>
    <mergeCell ref="O28:S28"/>
    <mergeCell ref="D58:E58"/>
    <mergeCell ref="K58:L58"/>
    <mergeCell ref="Q58:R58"/>
    <mergeCell ref="I29:M29"/>
    <mergeCell ref="O29:S29"/>
  </mergeCells>
  <pageMargins left="0.25" right="0.25" top="0.75" bottom="0.75" header="0.3" footer="0.3"/>
  <pageSetup paperSize="9" scale="39" orientation="landscape" r:id="rId1"/>
  <headerFooter alignWithMargins="0">
    <oddFooter>&amp;R&amp;D</oddFooter>
  </headerFooter>
  <rowBreaks count="2" manualBreakCount="2">
    <brk id="69" max="30" man="1"/>
    <brk id="137" max="30" man="1"/>
  </rowBreaks>
  <colBreaks count="1" manualBreakCount="1">
    <brk id="31" max="1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Coating cost calc HQS </vt:lpstr>
      <vt:lpstr>Coating cost calc hook</vt:lpstr>
      <vt:lpstr>Detailed Coating line calc</vt:lpstr>
      <vt:lpstr>HQS PH#11</vt:lpstr>
      <vt:lpstr>'HQS PH#11'!Utskriftsområde</vt:lpstr>
    </vt:vector>
  </TitlesOfParts>
  <Company>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</dc:creator>
  <cp:lastModifiedBy>Petter Törefors</cp:lastModifiedBy>
  <cp:lastPrinted>2015-04-22T12:08:15Z</cp:lastPrinted>
  <dcterms:created xsi:type="dcterms:W3CDTF">2008-09-18T09:26:31Z</dcterms:created>
  <dcterms:modified xsi:type="dcterms:W3CDTF">2018-04-12T13:21:29Z</dcterms:modified>
</cp:coreProperties>
</file>